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ljohnson\Dropbox\NCWQR\HTLP annual report\"/>
    </mc:Choice>
  </mc:AlternateContent>
  <xr:revisionPtr revIDLastSave="0" documentId="13_ncr:1_{1418F798-3656-4DD0-9F51-1E5FC26E37D1}" xr6:coauthVersionLast="45" xr6:coauthVersionMax="45" xr10:uidLastSave="{00000000-0000-0000-0000-000000000000}"/>
  <bookViews>
    <workbookView minimized="1" xWindow="2940" yWindow="1320" windowWidth="20925" windowHeight="12795" firstSheet="1" activeTab="1" xr2:uid="{00000000-000D-0000-FFFF-FFFF00000000}"/>
  </bookViews>
  <sheets>
    <sheet name="basic information" sheetId="1" r:id="rId1"/>
    <sheet name="Sonde Precip USGS links " sheetId="3" r:id="rId2"/>
    <sheet name="LU figure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Y14" i="1" l="1"/>
  <c r="Y6" i="1"/>
  <c r="Y24" i="1"/>
  <c r="Y23" i="1"/>
  <c r="Y22" i="1"/>
  <c r="Y19" i="1"/>
  <c r="Y16" i="1"/>
  <c r="Y15" i="1"/>
  <c r="Y7" i="1"/>
  <c r="Y5" i="1"/>
  <c r="H48" i="1" l="1"/>
  <c r="G16" i="1"/>
  <c r="Q46" i="1"/>
  <c r="P46" i="1"/>
  <c r="F46" i="1"/>
  <c r="F8" i="1"/>
  <c r="H46" i="1"/>
  <c r="G45" i="1"/>
  <c r="H45" i="1"/>
  <c r="G44" i="1"/>
  <c r="H44" i="1"/>
  <c r="Q45" i="1"/>
  <c r="P45" i="1"/>
  <c r="H16" i="1"/>
  <c r="H8" i="1"/>
  <c r="G7" i="1"/>
  <c r="H7" i="1"/>
  <c r="L12" i="1"/>
  <c r="L13" i="1"/>
  <c r="G13" i="1"/>
  <c r="F13" i="1"/>
  <c r="G12" i="1"/>
  <c r="F12" i="1"/>
  <c r="G27" i="1"/>
  <c r="H27" i="1"/>
  <c r="G26" i="1"/>
  <c r="H26" i="1"/>
  <c r="G25" i="1"/>
  <c r="H25" i="1"/>
  <c r="G24" i="1"/>
  <c r="H24" i="1"/>
  <c r="G23" i="1"/>
  <c r="H23" i="1"/>
  <c r="G22" i="1"/>
  <c r="H22" i="1"/>
  <c r="H21" i="1"/>
  <c r="H20" i="1"/>
  <c r="G19" i="1"/>
  <c r="H19" i="1"/>
  <c r="G17" i="1"/>
  <c r="H17" i="1"/>
  <c r="G15" i="1"/>
  <c r="H15" i="1"/>
  <c r="G14" i="1"/>
  <c r="H14" i="1"/>
  <c r="H10" i="1"/>
  <c r="H9" i="1"/>
  <c r="G6" i="1"/>
  <c r="H6" i="1"/>
  <c r="G5" i="1"/>
  <c r="H5" i="1"/>
  <c r="G18" i="1"/>
  <c r="H18" i="1"/>
  <c r="Q21" i="1"/>
  <c r="P21" i="1"/>
  <c r="F21" i="1"/>
  <c r="Q20" i="1"/>
  <c r="Q48" i="1"/>
  <c r="Q10" i="1"/>
  <c r="Q9" i="1"/>
  <c r="Q8" i="1"/>
  <c r="P48" i="1"/>
  <c r="F20" i="1"/>
  <c r="P20" i="1"/>
  <c r="P8" i="1"/>
  <c r="P9" i="1"/>
  <c r="F9" i="1"/>
  <c r="P10" i="1"/>
  <c r="F10" i="1"/>
  <c r="F48" i="1"/>
  <c r="G11" i="1"/>
  <c r="H11" i="1"/>
</calcChain>
</file>

<file path=xl/sharedStrings.xml><?xml version="1.0" encoding="utf-8"?>
<sst xmlns="http://schemas.openxmlformats.org/spreadsheetml/2006/main" count="356" uniqueCount="143">
  <si>
    <t>Watershed area</t>
  </si>
  <si>
    <t>Watershed land use</t>
  </si>
  <si>
    <t>Year monitoring began</t>
  </si>
  <si>
    <t>Agriculture</t>
  </si>
  <si>
    <t>Pasture</t>
  </si>
  <si>
    <t>Forest</t>
  </si>
  <si>
    <t>Urban</t>
  </si>
  <si>
    <t>Other*</t>
  </si>
  <si>
    <t>Station Name</t>
  </si>
  <si>
    <t xml:space="preserve">Subwatershed of </t>
  </si>
  <si>
    <t>Drains to</t>
  </si>
  <si>
    <t>USGS gaging station</t>
  </si>
  <si>
    <r>
      <rPr>
        <b/>
        <sz val="11"/>
        <rFont val="Arial"/>
        <family val="2"/>
      </rPr>
      <t>k</t>
    </r>
    <r>
      <rPr>
        <b/>
        <sz val="11"/>
        <color theme="1"/>
        <rFont val="Arial"/>
        <family val="2"/>
      </rPr>
      <t>m</t>
    </r>
    <r>
      <rPr>
        <b/>
        <vertAlign val="superscript"/>
        <sz val="11"/>
        <rFont val="Arial"/>
        <family val="2"/>
      </rPr>
      <t>2</t>
    </r>
  </si>
  <si>
    <t>%</t>
  </si>
  <si>
    <t>Latitude</t>
  </si>
  <si>
    <t>Longitude</t>
  </si>
  <si>
    <t>Cuyahoga</t>
  </si>
  <si>
    <r>
      <rPr>
        <sz val="11"/>
        <color theme="1"/>
        <rFont val="Calibri"/>
        <family val="2"/>
      </rPr>
      <t>–</t>
    </r>
  </si>
  <si>
    <t>Lake Erie</t>
  </si>
  <si>
    <t>Raisin</t>
  </si>
  <si>
    <t>Portage</t>
  </si>
  <si>
    <r>
      <t xml:space="preserve">2011 </t>
    </r>
    <r>
      <rPr>
        <vertAlign val="superscript"/>
        <sz val="11"/>
        <rFont val="Arial"/>
        <family val="2"/>
      </rPr>
      <t>2</t>
    </r>
  </si>
  <si>
    <t>Lost</t>
  </si>
  <si>
    <t>Maumee</t>
  </si>
  <si>
    <t>Blanchard</t>
  </si>
  <si>
    <t>Tiffin</t>
  </si>
  <si>
    <t>Rock</t>
  </si>
  <si>
    <t>Sandusky</t>
  </si>
  <si>
    <t xml:space="preserve">Honey </t>
  </si>
  <si>
    <t>Muskingum</t>
  </si>
  <si>
    <t>Ohio River</t>
  </si>
  <si>
    <t>Scioto</t>
  </si>
  <si>
    <t>Great Miami</t>
  </si>
  <si>
    <t>Chickasaw</t>
  </si>
  <si>
    <t>Grand Lake St Marys</t>
  </si>
  <si>
    <t>40291308/4285400</t>
  </si>
  <si>
    <t>Coldwater</t>
  </si>
  <si>
    <t>40295808/4363300</t>
  </si>
  <si>
    <t>* Other includes open water, wetlands and miscellaneous</t>
  </si>
  <si>
    <r>
      <t>1</t>
    </r>
    <r>
      <rPr>
        <sz val="11"/>
        <color theme="1"/>
        <rFont val="Arial"/>
        <family val="2"/>
      </rPr>
      <t>The Lost Creek tributary station was also in operation for the 1982-1993 water years.</t>
    </r>
  </si>
  <si>
    <r>
      <t>2</t>
    </r>
    <r>
      <rPr>
        <sz val="11"/>
        <color theme="1"/>
        <rFont val="Arial"/>
        <family val="2"/>
      </rPr>
      <t>The Portage River station was also in operation for the 1975-1978 water years.</t>
    </r>
  </si>
  <si>
    <r>
      <t>3</t>
    </r>
    <r>
      <rPr>
        <sz val="11"/>
        <color theme="1"/>
        <rFont val="Arial"/>
        <family val="2"/>
      </rPr>
      <t>The Maumee River at Waterville station was not in operation duing the 1979-1981 water years.</t>
    </r>
  </si>
  <si>
    <r>
      <t>4</t>
    </r>
    <r>
      <rPr>
        <sz val="11"/>
        <color theme="1"/>
        <rFont val="Arial"/>
        <family val="2"/>
      </rPr>
      <t>The Scioto River  station has only partial rercords for the 2009-2012 water years.</t>
    </r>
  </si>
  <si>
    <r>
      <t>5</t>
    </r>
    <r>
      <rPr>
        <sz val="11"/>
        <color theme="1"/>
        <rFont val="Arial"/>
        <family val="2"/>
      </rPr>
      <t>This is the area at the USGS station, the sampling station is just upstream draining an area of 307.5 km</t>
    </r>
    <r>
      <rPr>
        <vertAlign val="superscript"/>
        <sz val="11"/>
        <color theme="1"/>
        <rFont val="Arial"/>
        <family val="2"/>
      </rPr>
      <t>2</t>
    </r>
  </si>
  <si>
    <t>Beaver</t>
  </si>
  <si>
    <t>outlet of Grand Lake St Marys</t>
  </si>
  <si>
    <r>
      <t>6</t>
    </r>
    <r>
      <rPr>
        <sz val="11"/>
        <color theme="1"/>
        <rFont val="Arial"/>
        <family val="2"/>
      </rPr>
      <t>Beaver Creek is the outlet to Grand Lake St Marys, this data encompasses the entire Grand Lake St Marys watershed, including Chickasaw and Coldwater and the lake</t>
    </r>
  </si>
  <si>
    <t xml:space="preserve">Wolf </t>
  </si>
  <si>
    <t>S. Turkeyfoot</t>
  </si>
  <si>
    <t>Huron</t>
  </si>
  <si>
    <t>West</t>
  </si>
  <si>
    <r>
      <rPr>
        <b/>
        <sz val="11"/>
        <color theme="1"/>
        <rFont val="Arial"/>
        <family val="2"/>
      </rPr>
      <t>mi</t>
    </r>
    <r>
      <rPr>
        <b/>
        <vertAlign val="superscript"/>
        <sz val="11"/>
        <rFont val="Arial"/>
        <family val="2"/>
      </rPr>
      <t>2</t>
    </r>
  </si>
  <si>
    <t>Swan/Maumee</t>
  </si>
  <si>
    <r>
      <t>Rock-Republic</t>
    </r>
    <r>
      <rPr>
        <vertAlign val="superscript"/>
        <sz val="11"/>
        <color theme="1"/>
        <rFont val="Arial"/>
        <family val="2"/>
      </rPr>
      <t>7</t>
    </r>
  </si>
  <si>
    <r>
      <rPr>
        <vertAlign val="superscript"/>
        <sz val="11"/>
        <color theme="1"/>
        <rFont val="Arial"/>
        <family val="2"/>
      </rPr>
      <t>7</t>
    </r>
    <r>
      <rPr>
        <sz val="11"/>
        <color theme="1"/>
        <rFont val="Arial"/>
        <family val="2"/>
      </rPr>
      <t>Rock-Republic is only getting weekly grab samples and a couple storm events</t>
    </r>
  </si>
  <si>
    <t>Old Woman Creek</t>
  </si>
  <si>
    <t>acres</t>
  </si>
  <si>
    <t>Potato Run</t>
  </si>
  <si>
    <t>Shallow Run</t>
  </si>
  <si>
    <t>Blanchard/Maumee</t>
  </si>
  <si>
    <r>
      <t xml:space="preserve">2008 </t>
    </r>
    <r>
      <rPr>
        <vertAlign val="superscript"/>
        <sz val="11"/>
        <color theme="1"/>
        <rFont val="Arial"/>
        <family val="2"/>
      </rPr>
      <t>1</t>
    </r>
  </si>
  <si>
    <r>
      <t xml:space="preserve">1975 </t>
    </r>
    <r>
      <rPr>
        <vertAlign val="superscript"/>
        <sz val="11"/>
        <color theme="1"/>
        <rFont val="Arial"/>
        <family val="2"/>
      </rPr>
      <t>3</t>
    </r>
  </si>
  <si>
    <r>
      <t xml:space="preserve">386 </t>
    </r>
    <r>
      <rPr>
        <vertAlign val="superscript"/>
        <sz val="11"/>
        <color theme="1"/>
        <rFont val="Arial"/>
        <family val="2"/>
      </rPr>
      <t>5</t>
    </r>
  </si>
  <si>
    <r>
      <t xml:space="preserve">1996 </t>
    </r>
    <r>
      <rPr>
        <vertAlign val="superscript"/>
        <sz val="11"/>
        <color theme="1"/>
        <rFont val="Arial"/>
        <family val="2"/>
      </rPr>
      <t>4</t>
    </r>
  </si>
  <si>
    <r>
      <t xml:space="preserve">294 </t>
    </r>
    <r>
      <rPr>
        <vertAlign val="superscript"/>
        <sz val="11"/>
        <color theme="1"/>
        <rFont val="Arial"/>
        <family val="2"/>
      </rPr>
      <t>6</t>
    </r>
  </si>
  <si>
    <t>Year monitoring ended</t>
  </si>
  <si>
    <t>current</t>
  </si>
  <si>
    <r>
      <t xml:space="preserve">2019 </t>
    </r>
    <r>
      <rPr>
        <vertAlign val="superscript"/>
        <sz val="11"/>
        <color theme="1"/>
        <rFont val="Arial"/>
        <family val="2"/>
      </rPr>
      <t>8</t>
    </r>
  </si>
  <si>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note, Old Woman Creek has 2 sampling locations, one above and one below the wetland.  Listed is only above the wetland because that is the only location of a USGS gage. OWC NERRS is now analyzing samples for this site for 2019 and beyond</t>
    </r>
  </si>
  <si>
    <t>Vermillion</t>
  </si>
  <si>
    <t>Grand</t>
  </si>
  <si>
    <t>*Pasture is not separate from agriculture</t>
  </si>
  <si>
    <t>PAST STATIONS:</t>
  </si>
  <si>
    <t>Scioto at Piketon</t>
  </si>
  <si>
    <t>*info from USGS gage website</t>
  </si>
  <si>
    <t>Old Woman Creek (at the Lake)</t>
  </si>
  <si>
    <t>*lat long from Google Maps</t>
  </si>
  <si>
    <t>n/a</t>
  </si>
  <si>
    <t>USGS Gage</t>
  </si>
  <si>
    <t>Actually Sample from</t>
  </si>
  <si>
    <t>Funding Source</t>
  </si>
  <si>
    <t>NEORSD</t>
  </si>
  <si>
    <t>MI EGLE</t>
  </si>
  <si>
    <t>State of Ohio</t>
  </si>
  <si>
    <t>ODHE/OEPA</t>
  </si>
  <si>
    <t>NRCS CEAP</t>
  </si>
  <si>
    <t>State of Ohio/ The Andersons</t>
  </si>
  <si>
    <t>NOAA NERRS (ended June 2019)</t>
  </si>
  <si>
    <t>City of Columbus Division of Sewerage</t>
  </si>
  <si>
    <t>ODNR</t>
  </si>
  <si>
    <t>*info from USGS gage website, LU from L-THIA</t>
  </si>
  <si>
    <t>Other</t>
  </si>
  <si>
    <t>Wolf</t>
  </si>
  <si>
    <t>S Turkeyfoot</t>
  </si>
  <si>
    <t>Honey</t>
  </si>
  <si>
    <t>***</t>
  </si>
  <si>
    <t>*</t>
  </si>
  <si>
    <t>**</t>
  </si>
  <si>
    <t xml:space="preserve">Sonde? </t>
  </si>
  <si>
    <t xml:space="preserve">Rain Gage? </t>
  </si>
  <si>
    <t>USGS link-Flow</t>
  </si>
  <si>
    <t>Precip (if difft</t>
  </si>
  <si>
    <t>Sonde (if difft)</t>
  </si>
  <si>
    <t>USGS</t>
  </si>
  <si>
    <t>NO</t>
  </si>
  <si>
    <t>https://waterdata.usgs.gov/oh/nwis/uv/?site_no=04208000</t>
  </si>
  <si>
    <t>https://waterdata.usgs.gov/nwis/uv?04176500</t>
  </si>
  <si>
    <t>EXO3</t>
  </si>
  <si>
    <t>https://waterdata.usgs.gov/oh/nwis/uv/?site_no=04195500</t>
  </si>
  <si>
    <t>USGS (started Oct 2020)</t>
  </si>
  <si>
    <t>https://waterdata.usgs.gov/oh/nwis/uv/?site_no=04193999</t>
  </si>
  <si>
    <t>https://waterdata.usgs.gov/nwis/uv?site_no=413634083410300</t>
  </si>
  <si>
    <t>https://waterdata.usgs.gov/oh/nwis/uv/?site_no=04192599</t>
  </si>
  <si>
    <t>https://waterdata.usgs.gov/nwis/uv?site_no=412123084030300</t>
  </si>
  <si>
    <t>https://waterdata.usgs.gov/oh/nwis/uv/?site_no=04192574</t>
  </si>
  <si>
    <t>https://waterdata.usgs.gov/nwis/uv?site_no=411543084021200</t>
  </si>
  <si>
    <t>https://waterdata.usgs.gov/oh/nwis/uv/?site_no=04185440</t>
  </si>
  <si>
    <t>https://waterdata.usgs.gov/oh/nwis/uv/?site_no=04188324</t>
  </si>
  <si>
    <t>https://waterdata.usgs.gov/nwis/uv?site_no=405156083292900</t>
  </si>
  <si>
    <t>https://waterdata.usgs.gov/oh/nwis/uv/?site_no=04188252</t>
  </si>
  <si>
    <t>https://waterdata.usgs.gov/nwis/uv?site_no=404541083354300</t>
  </si>
  <si>
    <t>https://waterdata.usgs.gov/oh/nwis/uv/?site_no=04189000</t>
  </si>
  <si>
    <t>https://waterdata.usgs.gov/nwis/uv?site_no=04188400</t>
  </si>
  <si>
    <t>https://waterdata.usgs.gov/oh/nwis/uv/?site_no=04185000</t>
  </si>
  <si>
    <t>https://waterdata.usgs.gov/nwis/uv?site_no=413934084145700</t>
  </si>
  <si>
    <t>https://waterdata.usgs.gov/oh/nwis/uv/?site_no=04193500</t>
  </si>
  <si>
    <t>https://waterdata.usgs.gov/nwis/uv?site_no=04193490</t>
  </si>
  <si>
    <t>https://waterdata.usgs.gov/oh/nwis/uv/?site_no=04197170</t>
  </si>
  <si>
    <t>https://waterdata.usgs.gov/nwis/uv?site_no=410651083104700</t>
  </si>
  <si>
    <t>https://waterdata.usgs.gov/oh/nwis/uv/?site_no=04197100</t>
  </si>
  <si>
    <t>https://waterdata.usgs.gov/oh/nwis/uv/?site_no=04198000</t>
  </si>
  <si>
    <t>https://waterdata.usgs.gov/nwis/uv?site_no=411828083093200</t>
  </si>
  <si>
    <t>https://waterdata.usgs.gov/oh/nwis/uv/?site_no=04199000</t>
  </si>
  <si>
    <t>https://waterdata.usgs.gov/nwis/uv?site_no=411550082364800</t>
  </si>
  <si>
    <t>https://waterdata.usgs.gov/oh/nwis/uv/?site_no=03150000</t>
  </si>
  <si>
    <t>https://waterdata.usgs.gov/oh/nwis/uv/?site_no=03231500</t>
  </si>
  <si>
    <t>https://waterdata.usgs.gov/oh/nwis/uv/?site_no=03271500</t>
  </si>
  <si>
    <t>https://waterdata.usgs.gov/nwis/uv?site_no=03271500</t>
  </si>
  <si>
    <t>https://waterdata.usgs.gov/oh/nwis/uv/?site_no=402913084285400</t>
  </si>
  <si>
    <t>https://waterdata.usgs.gov/oh/nwis/uv/?site_no=402958084363300</t>
  </si>
  <si>
    <t>https://waterdata.usgs.gov/nwis/uv?03322485</t>
  </si>
  <si>
    <t>% watershed represented in monitoring location</t>
  </si>
  <si>
    <t>Total Area sq 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</si>
</sst>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"/>
    <numFmt numFmtId="165" formatCode="0.0000000000"/>
    <numFmt numFmtId="166" formatCode="_(* #,##0_);_(* \(#,##0\);_(* &quot;-&quot;??_);_(@_)"/>
    <numFmt numFmtId="167" formatCode="_(* #,##0.0_);_(* \(#,##0.0\);_(* &quot;-&quot;??_);_(@_)"/>
    <numFmt numFmtId="168" formatCode="0.000000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b/>
      <vertAlign val="superscript"/>
      <sz val="11"/>
      <name val="Arial"/>
      <family val="2"/>
    </font>
    <font>
      <sz val="11"/>
      <color theme="1"/>
      <name val="Calibri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perscript"/>
      <sz val="11"/>
      <color theme="1"/>
      <name val="Arial"/>
      <family val="2"/>
    </font>
    <font>
      <sz val="11"/>
      <color theme="8"/>
      <name val="Arial"/>
      <family val="2"/>
    </font>
    <font>
      <sz val="11"/>
      <color theme="8"/>
      <name val="Calibri"/>
      <family val="2"/>
      <scheme val="minor"/>
    </font>
    <font>
      <sz val="11"/>
      <color rgb="FF7030A0"/>
      <name val="Arial"/>
      <family val="2"/>
    </font>
    <font>
      <sz val="11"/>
      <color rgb="FF7030A0"/>
      <name val="Calibri"/>
      <family val="2"/>
      <scheme val="minor"/>
    </font>
    <font>
      <b/>
      <sz val="16"/>
      <color rgb="FFFF0000"/>
      <name val="Arial"/>
      <family val="2"/>
    </font>
    <font>
      <sz val="9"/>
      <name val="Geneva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99">
    <xf numFmtId="0" fontId="0" fillId="0" borderId="0" xfId="0"/>
    <xf numFmtId="0" fontId="2" fillId="0" borderId="0" xfId="0" applyFont="1" applyFill="1" applyBorder="1"/>
    <xf numFmtId="0" fontId="0" fillId="0" borderId="3" xfId="0" applyBorder="1"/>
    <xf numFmtId="0" fontId="3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8" fillId="0" borderId="1" xfId="0" applyFont="1" applyFill="1" applyBorder="1"/>
    <xf numFmtId="1" fontId="8" fillId="0" borderId="1" xfId="0" applyNumberFormat="1" applyFont="1" applyFill="1" applyBorder="1" applyAlignment="1">
      <alignment horizontal="center"/>
    </xf>
    <xf numFmtId="0" fontId="2" fillId="0" borderId="3" xfId="0" quotePrefix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8" fillId="0" borderId="3" xfId="0" applyFont="1" applyFill="1" applyBorder="1"/>
    <xf numFmtId="1" fontId="8" fillId="0" borderId="3" xfId="0" applyNumberFormat="1" applyFont="1" applyFill="1" applyBorder="1" applyAlignment="1">
      <alignment horizontal="center"/>
    </xf>
    <xf numFmtId="164" fontId="8" fillId="0" borderId="3" xfId="0" applyNumberFormat="1" applyFont="1" applyFill="1" applyBorder="1" applyAlignment="1">
      <alignment horizontal="center"/>
    </xf>
    <xf numFmtId="0" fontId="2" fillId="0" borderId="1" xfId="0" applyFont="1" applyFill="1" applyBorder="1"/>
    <xf numFmtId="0" fontId="2" fillId="0" borderId="3" xfId="0" applyFont="1" applyFill="1" applyBorder="1"/>
    <xf numFmtId="0" fontId="2" fillId="0" borderId="2" xfId="0" applyFont="1" applyFill="1" applyBorder="1"/>
    <xf numFmtId="0" fontId="2" fillId="0" borderId="8" xfId="0" applyFont="1" applyFill="1" applyBorder="1"/>
    <xf numFmtId="0" fontId="2" fillId="0" borderId="6" xfId="0" applyFont="1" applyFill="1" applyBorder="1"/>
    <xf numFmtId="0" fontId="10" fillId="0" borderId="3" xfId="0" applyFont="1" applyFill="1" applyBorder="1" applyAlignment="1">
      <alignment horizontal="left"/>
    </xf>
    <xf numFmtId="166" fontId="8" fillId="0" borderId="3" xfId="1" applyNumberFormat="1" applyFont="1" applyFill="1" applyBorder="1"/>
    <xf numFmtId="2" fontId="3" fillId="0" borderId="3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center"/>
    </xf>
    <xf numFmtId="166" fontId="8" fillId="0" borderId="1" xfId="1" applyNumberFormat="1" applyFont="1" applyFill="1" applyBorder="1"/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164" fontId="2" fillId="0" borderId="7" xfId="0" applyNumberFormat="1" applyFont="1" applyFill="1" applyBorder="1" applyAlignment="1">
      <alignment horizontal="center" vertical="center"/>
    </xf>
    <xf numFmtId="0" fontId="11" fillId="0" borderId="3" xfId="0" applyFont="1" applyFill="1" applyBorder="1"/>
    <xf numFmtId="0" fontId="12" fillId="0" borderId="0" xfId="0" applyFont="1"/>
    <xf numFmtId="0" fontId="13" fillId="0" borderId="3" xfId="0" applyFont="1" applyFill="1" applyBorder="1"/>
    <xf numFmtId="0" fontId="14" fillId="0" borderId="0" xfId="0" applyFont="1"/>
    <xf numFmtId="43" fontId="2" fillId="0" borderId="3" xfId="0" applyNumberFormat="1" applyFont="1" applyFill="1" applyBorder="1"/>
    <xf numFmtId="167" fontId="2" fillId="0" borderId="3" xfId="1" applyNumberFormat="1" applyFont="1" applyFill="1" applyBorder="1"/>
    <xf numFmtId="166" fontId="2" fillId="0" borderId="3" xfId="1" applyNumberFormat="1" applyFont="1" applyFill="1" applyBorder="1"/>
    <xf numFmtId="1" fontId="2" fillId="0" borderId="3" xfId="0" applyNumberFormat="1" applyFont="1" applyFill="1" applyBorder="1" applyAlignment="1">
      <alignment horizontal="center"/>
    </xf>
    <xf numFmtId="165" fontId="2" fillId="0" borderId="3" xfId="0" applyNumberFormat="1" applyFont="1" applyFill="1" applyBorder="1"/>
    <xf numFmtId="0" fontId="2" fillId="0" borderId="0" xfId="0" applyFont="1"/>
    <xf numFmtId="43" fontId="2" fillId="0" borderId="3" xfId="1" applyNumberFormat="1" applyFont="1" applyFill="1" applyBorder="1"/>
    <xf numFmtId="0" fontId="2" fillId="0" borderId="3" xfId="1" applyNumberFormat="1" applyFont="1" applyFill="1" applyBorder="1" applyAlignment="1">
      <alignment horizontal="right"/>
    </xf>
    <xf numFmtId="1" fontId="2" fillId="0" borderId="3" xfId="0" applyNumberFormat="1" applyFont="1" applyFill="1" applyBorder="1" applyAlignment="1">
      <alignment horizontal="right" vertical="center" wrapText="1"/>
    </xf>
    <xf numFmtId="167" fontId="2" fillId="0" borderId="3" xfId="1" applyNumberFormat="1" applyFont="1" applyFill="1" applyBorder="1" applyAlignment="1">
      <alignment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right"/>
    </xf>
    <xf numFmtId="0" fontId="2" fillId="0" borderId="7" xfId="0" applyFont="1" applyFill="1" applyBorder="1" applyAlignment="1">
      <alignment horizontal="right" vertical="center"/>
    </xf>
    <xf numFmtId="0" fontId="2" fillId="0" borderId="3" xfId="1" applyNumberFormat="1" applyFont="1" applyFill="1" applyBorder="1" applyAlignment="1">
      <alignment horizontal="right" vertical="center"/>
    </xf>
    <xf numFmtId="166" fontId="2" fillId="0" borderId="3" xfId="1" applyNumberFormat="1" applyFont="1" applyFill="1" applyBorder="1" applyAlignment="1">
      <alignment vertical="center"/>
    </xf>
    <xf numFmtId="164" fontId="2" fillId="0" borderId="3" xfId="0" applyNumberFormat="1" applyFont="1" applyFill="1" applyBorder="1" applyAlignment="1">
      <alignment horizontal="left"/>
    </xf>
    <xf numFmtId="0" fontId="15" fillId="0" borderId="0" xfId="0" applyFont="1" applyFill="1" applyBorder="1"/>
    <xf numFmtId="168" fontId="8" fillId="0" borderId="1" xfId="0" applyNumberFormat="1" applyFont="1" applyFill="1" applyBorder="1"/>
    <xf numFmtId="168" fontId="8" fillId="0" borderId="3" xfId="0" applyNumberFormat="1" applyFont="1" applyFill="1" applyBorder="1"/>
    <xf numFmtId="168" fontId="2" fillId="0" borderId="3" xfId="0" applyNumberFormat="1" applyFont="1" applyFill="1" applyBorder="1"/>
    <xf numFmtId="168" fontId="2" fillId="0" borderId="3" xfId="0" applyNumberFormat="1" applyFont="1" applyFill="1" applyBorder="1" applyAlignment="1">
      <alignment vertical="center" wrapText="1"/>
    </xf>
    <xf numFmtId="168" fontId="2" fillId="0" borderId="7" xfId="0" applyNumberFormat="1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0" fillId="0" borderId="0" xfId="0" applyFont="1"/>
    <xf numFmtId="43" fontId="0" fillId="0" borderId="0" xfId="0" applyNumberFormat="1"/>
    <xf numFmtId="0" fontId="16" fillId="0" borderId="0" xfId="0" applyFont="1"/>
    <xf numFmtId="2" fontId="7" fillId="0" borderId="0" xfId="0" applyNumberFormat="1" applyFont="1"/>
    <xf numFmtId="0" fontId="3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7" fillId="0" borderId="11" xfId="0" applyFont="1" applyBorder="1"/>
    <xf numFmtId="0" fontId="17" fillId="0" borderId="12" xfId="0" applyFont="1" applyBorder="1"/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/>
    <xf numFmtId="0" fontId="0" fillId="2" borderId="0" xfId="0" applyFill="1"/>
    <xf numFmtId="0" fontId="18" fillId="2" borderId="0" xfId="0" applyFont="1" applyFill="1"/>
    <xf numFmtId="0" fontId="2" fillId="0" borderId="3" xfId="0" applyFont="1" applyBorder="1" applyAlignment="1">
      <alignment horizontal="center"/>
    </xf>
    <xf numFmtId="0" fontId="8" fillId="0" borderId="3" xfId="0" applyFont="1" applyBorder="1"/>
    <xf numFmtId="0" fontId="18" fillId="0" borderId="0" xfId="0" applyFont="1"/>
    <xf numFmtId="0" fontId="2" fillId="2" borderId="3" xfId="0" applyFont="1" applyFill="1" applyBorder="1" applyAlignment="1">
      <alignment horizontal="center"/>
    </xf>
    <xf numFmtId="0" fontId="8" fillId="2" borderId="3" xfId="0" applyFont="1" applyFill="1" applyBorder="1"/>
    <xf numFmtId="0" fontId="19" fillId="2" borderId="0" xfId="0" applyFont="1" applyFill="1"/>
    <xf numFmtId="0" fontId="2" fillId="0" borderId="3" xfId="0" applyFont="1" applyBorder="1"/>
    <xf numFmtId="0" fontId="19" fillId="0" borderId="0" xfId="0" applyFont="1"/>
    <xf numFmtId="0" fontId="2" fillId="2" borderId="3" xfId="0" applyFont="1" applyFill="1" applyBorder="1"/>
    <xf numFmtId="1" fontId="2" fillId="0" borderId="3" xfId="0" applyNumberFormat="1" applyFont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18" fillId="0" borderId="11" xfId="0" applyFont="1" applyBorder="1"/>
    <xf numFmtId="0" fontId="18" fillId="0" borderId="12" xfId="0" applyFont="1" applyBorder="1"/>
    <xf numFmtId="0" fontId="0" fillId="0" borderId="12" xfId="0" applyBorder="1"/>
    <xf numFmtId="0" fontId="5" fillId="0" borderId="0" xfId="0" applyFont="1" applyFill="1" applyBorder="1" applyAlignment="1">
      <alignment horizontal="center" vertical="center" wrapText="1"/>
    </xf>
    <xf numFmtId="9" fontId="0" fillId="0" borderId="0" xfId="2" applyFont="1"/>
    <xf numFmtId="0" fontId="20" fillId="2" borderId="0" xfId="3" applyFill="1"/>
    <xf numFmtId="0" fontId="20" fillId="0" borderId="0" xfId="3"/>
    <xf numFmtId="0" fontId="3" fillId="0" borderId="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v>Agr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'LU figure'!$A$5:$A$28</c:f>
              <c:strCache>
                <c:ptCount val="24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  <c:pt idx="12">
                  <c:v>***</c:v>
                </c:pt>
                <c:pt idx="13">
                  <c:v>Huron</c:v>
                </c:pt>
                <c:pt idx="14">
                  <c:v>Old Woman Creek</c:v>
                </c:pt>
                <c:pt idx="15">
                  <c:v>Cuyahoga</c:v>
                </c:pt>
                <c:pt idx="16">
                  <c:v>*</c:v>
                </c:pt>
                <c:pt idx="17">
                  <c:v>Muskingum</c:v>
                </c:pt>
                <c:pt idx="18">
                  <c:v>Scioto</c:v>
                </c:pt>
                <c:pt idx="19">
                  <c:v>Great Miami</c:v>
                </c:pt>
                <c:pt idx="20">
                  <c:v>**</c:v>
                </c:pt>
                <c:pt idx="21">
                  <c:v>Chickasaw</c:v>
                </c:pt>
                <c:pt idx="22">
                  <c:v>Coldwater</c:v>
                </c:pt>
                <c:pt idx="23">
                  <c:v>Beaver</c:v>
                </c:pt>
              </c:strCache>
            </c:strRef>
          </c:cat>
          <c:val>
            <c:numRef>
              <c:f>'LU figure'!$B$5:$B$28</c:f>
              <c:numCache>
                <c:formatCode>0.0</c:formatCode>
                <c:ptCount val="24"/>
                <c:pt idx="0">
                  <c:v>49.564225060508562</c:v>
                </c:pt>
                <c:pt idx="1">
                  <c:v>73.333818823538621</c:v>
                </c:pt>
                <c:pt idx="2">
                  <c:v>15.595910714486628</c:v>
                </c:pt>
                <c:pt idx="3">
                  <c:v>60.537973269152758</c:v>
                </c:pt>
                <c:pt idx="4">
                  <c:v>77.455357142857139</c:v>
                </c:pt>
                <c:pt idx="5">
                  <c:v>90.258981676650251</c:v>
                </c:pt>
                <c:pt idx="6">
                  <c:v>92.047298497739689</c:v>
                </c:pt>
                <c:pt idx="7">
                  <c:v>78.75375026464863</c:v>
                </c:pt>
                <c:pt idx="8">
                  <c:v>84.417345962179468</c:v>
                </c:pt>
                <c:pt idx="9">
                  <c:v>77.591756850423437</c:v>
                </c:pt>
                <c:pt idx="10">
                  <c:v>71.853837471783294</c:v>
                </c:pt>
                <c:pt idx="11">
                  <c:v>81.071205234224053</c:v>
                </c:pt>
                <c:pt idx="13">
                  <c:v>72.862474095518337</c:v>
                </c:pt>
                <c:pt idx="14" formatCode="0.00">
                  <c:v>70.13</c:v>
                </c:pt>
                <c:pt idx="15">
                  <c:v>9.0083242583853771</c:v>
                </c:pt>
                <c:pt idx="17">
                  <c:v>23.604200361403432</c:v>
                </c:pt>
                <c:pt idx="18">
                  <c:v>61.740894962362816</c:v>
                </c:pt>
                <c:pt idx="19">
                  <c:v>64.545446865008216</c:v>
                </c:pt>
                <c:pt idx="21">
                  <c:v>79.046935371492509</c:v>
                </c:pt>
                <c:pt idx="22">
                  <c:v>68.83</c:v>
                </c:pt>
                <c:pt idx="23">
                  <c:v>69.099999999999994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A0-40D6-B897-427B8129AB11}"/>
            </c:ext>
          </c:extLst>
        </c:ser>
        <c:ser>
          <c:idx val="1"/>
          <c:order val="1"/>
          <c:tx>
            <c:v>Pas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'LU figure'!$A$5:$A$28</c:f>
              <c:strCache>
                <c:ptCount val="24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  <c:pt idx="12">
                  <c:v>***</c:v>
                </c:pt>
                <c:pt idx="13">
                  <c:v>Huron</c:v>
                </c:pt>
                <c:pt idx="14">
                  <c:v>Old Woman Creek</c:v>
                </c:pt>
                <c:pt idx="15">
                  <c:v>Cuyahoga</c:v>
                </c:pt>
                <c:pt idx="16">
                  <c:v>*</c:v>
                </c:pt>
                <c:pt idx="17">
                  <c:v>Muskingum</c:v>
                </c:pt>
                <c:pt idx="18">
                  <c:v>Scioto</c:v>
                </c:pt>
                <c:pt idx="19">
                  <c:v>Great Miami</c:v>
                </c:pt>
                <c:pt idx="20">
                  <c:v>**</c:v>
                </c:pt>
                <c:pt idx="21">
                  <c:v>Chickasaw</c:v>
                </c:pt>
                <c:pt idx="22">
                  <c:v>Coldwater</c:v>
                </c:pt>
                <c:pt idx="23">
                  <c:v>Beaver</c:v>
                </c:pt>
              </c:strCache>
            </c:strRef>
          </c:cat>
          <c:val>
            <c:numRef>
              <c:f>'LU figure'!$C$5:$C$28</c:f>
              <c:numCache>
                <c:formatCode>0.0</c:formatCode>
                <c:ptCount val="24"/>
                <c:pt idx="0">
                  <c:v>18.686529338401989</c:v>
                </c:pt>
                <c:pt idx="1">
                  <c:v>6.3430947896306131</c:v>
                </c:pt>
                <c:pt idx="2">
                  <c:v>10.563590481100592</c:v>
                </c:pt>
                <c:pt idx="3">
                  <c:v>14.793632428503123</c:v>
                </c:pt>
                <c:pt idx="4">
                  <c:v>8.6360837438423648</c:v>
                </c:pt>
                <c:pt idx="5">
                  <c:v>0.49017498912200441</c:v>
                </c:pt>
                <c:pt idx="6">
                  <c:v>0.80551552598851073</c:v>
                </c:pt>
                <c:pt idx="7">
                  <c:v>3.4904700675951319</c:v>
                </c:pt>
                <c:pt idx="8">
                  <c:v>1.3116728820830996</c:v>
                </c:pt>
                <c:pt idx="9">
                  <c:v>4.3158466438585457</c:v>
                </c:pt>
                <c:pt idx="10">
                  <c:v>7.7646323766526928</c:v>
                </c:pt>
                <c:pt idx="11">
                  <c:v>1.992934544198766</c:v>
                </c:pt>
                <c:pt idx="13">
                  <c:v>2.1711942881834605</c:v>
                </c:pt>
                <c:pt idx="14" formatCode="0.00">
                  <c:v>4.7300000000000004</c:v>
                </c:pt>
                <c:pt idx="15">
                  <c:v>11.838917821716166</c:v>
                </c:pt>
                <c:pt idx="17">
                  <c:v>18.775360955965777</c:v>
                </c:pt>
                <c:pt idx="18">
                  <c:v>8.6180785544548186</c:v>
                </c:pt>
                <c:pt idx="19">
                  <c:v>8.5202519288800911</c:v>
                </c:pt>
                <c:pt idx="21">
                  <c:v>8.9289107531195242</c:v>
                </c:pt>
                <c:pt idx="22">
                  <c:v>13.98</c:v>
                </c:pt>
                <c:pt idx="23">
                  <c:v>7.3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A0-40D6-B897-427B8129AB11}"/>
            </c:ext>
          </c:extLst>
        </c:ser>
        <c:ser>
          <c:idx val="2"/>
          <c:order val="2"/>
          <c:tx>
            <c:v>For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'LU figure'!$A$5:$A$28</c:f>
              <c:strCache>
                <c:ptCount val="24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  <c:pt idx="12">
                  <c:v>***</c:v>
                </c:pt>
                <c:pt idx="13">
                  <c:v>Huron</c:v>
                </c:pt>
                <c:pt idx="14">
                  <c:v>Old Woman Creek</c:v>
                </c:pt>
                <c:pt idx="15">
                  <c:v>Cuyahoga</c:v>
                </c:pt>
                <c:pt idx="16">
                  <c:v>*</c:v>
                </c:pt>
                <c:pt idx="17">
                  <c:v>Muskingum</c:v>
                </c:pt>
                <c:pt idx="18">
                  <c:v>Scioto</c:v>
                </c:pt>
                <c:pt idx="19">
                  <c:v>Great Miami</c:v>
                </c:pt>
                <c:pt idx="20">
                  <c:v>**</c:v>
                </c:pt>
                <c:pt idx="21">
                  <c:v>Chickasaw</c:v>
                </c:pt>
                <c:pt idx="22">
                  <c:v>Coldwater</c:v>
                </c:pt>
                <c:pt idx="23">
                  <c:v>Beaver</c:v>
                </c:pt>
              </c:strCache>
            </c:strRef>
          </c:cat>
          <c:val>
            <c:numRef>
              <c:f>'LU figure'!$D$5:$D$28</c:f>
              <c:numCache>
                <c:formatCode>0.0</c:formatCode>
                <c:ptCount val="24"/>
                <c:pt idx="0">
                  <c:v>11.00609185035872</c:v>
                </c:pt>
                <c:pt idx="1">
                  <c:v>6.4692965362605825</c:v>
                </c:pt>
                <c:pt idx="2">
                  <c:v>28.306925405020472</c:v>
                </c:pt>
                <c:pt idx="3">
                  <c:v>8.8577449716272536</c:v>
                </c:pt>
                <c:pt idx="4">
                  <c:v>7.8663793103448274</c:v>
                </c:pt>
                <c:pt idx="5">
                  <c:v>2.4867753093924327</c:v>
                </c:pt>
                <c:pt idx="6">
                  <c:v>1.8131748820498643</c:v>
                </c:pt>
                <c:pt idx="7">
                  <c:v>6.2742121216815647</c:v>
                </c:pt>
                <c:pt idx="8">
                  <c:v>4.4862380779512234</c:v>
                </c:pt>
                <c:pt idx="9">
                  <c:v>8.8200200300311558</c:v>
                </c:pt>
                <c:pt idx="10">
                  <c:v>11.410633666559175</c:v>
                </c:pt>
                <c:pt idx="11">
                  <c:v>9.5453654530011836</c:v>
                </c:pt>
                <c:pt idx="13">
                  <c:v>14.650325337529427</c:v>
                </c:pt>
                <c:pt idx="14" formatCode="0.00">
                  <c:v>17.11</c:v>
                </c:pt>
                <c:pt idx="15">
                  <c:v>33.554934919658933</c:v>
                </c:pt>
                <c:pt idx="17">
                  <c:v>43.001910660839002</c:v>
                </c:pt>
                <c:pt idx="18">
                  <c:v>10.896016261805833</c:v>
                </c:pt>
                <c:pt idx="19">
                  <c:v>8.5862013613335098</c:v>
                </c:pt>
                <c:pt idx="21">
                  <c:v>2.7574266832759746</c:v>
                </c:pt>
                <c:pt idx="22">
                  <c:v>2.59</c:v>
                </c:pt>
                <c:pt idx="23">
                  <c:v>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A0-40D6-B897-427B8129AB11}"/>
            </c:ext>
          </c:extLst>
        </c:ser>
        <c:ser>
          <c:idx val="3"/>
          <c:order val="3"/>
          <c:tx>
            <c:v>Urb</c:v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'LU figure'!$A$5:$A$28</c:f>
              <c:strCache>
                <c:ptCount val="24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  <c:pt idx="12">
                  <c:v>***</c:v>
                </c:pt>
                <c:pt idx="13">
                  <c:v>Huron</c:v>
                </c:pt>
                <c:pt idx="14">
                  <c:v>Old Woman Creek</c:v>
                </c:pt>
                <c:pt idx="15">
                  <c:v>Cuyahoga</c:v>
                </c:pt>
                <c:pt idx="16">
                  <c:v>*</c:v>
                </c:pt>
                <c:pt idx="17">
                  <c:v>Muskingum</c:v>
                </c:pt>
                <c:pt idx="18">
                  <c:v>Scioto</c:v>
                </c:pt>
                <c:pt idx="19">
                  <c:v>Great Miami</c:v>
                </c:pt>
                <c:pt idx="20">
                  <c:v>**</c:v>
                </c:pt>
                <c:pt idx="21">
                  <c:v>Chickasaw</c:v>
                </c:pt>
                <c:pt idx="22">
                  <c:v>Coldwater</c:v>
                </c:pt>
                <c:pt idx="23">
                  <c:v>Beaver</c:v>
                </c:pt>
              </c:strCache>
            </c:strRef>
          </c:cat>
          <c:val>
            <c:numRef>
              <c:f>'LU figure'!$E$5:$E$28</c:f>
              <c:numCache>
                <c:formatCode>0.0</c:formatCode>
                <c:ptCount val="24"/>
                <c:pt idx="0">
                  <c:v>10.750492767302514</c:v>
                </c:pt>
                <c:pt idx="1">
                  <c:v>10.61025623030921</c:v>
                </c:pt>
                <c:pt idx="2">
                  <c:v>43.870340502444449</c:v>
                </c:pt>
                <c:pt idx="3">
                  <c:v>7.4878080249885945</c:v>
                </c:pt>
                <c:pt idx="4">
                  <c:v>4.2718596059113292</c:v>
                </c:pt>
                <c:pt idx="5">
                  <c:v>6.547103805663598</c:v>
                </c:pt>
                <c:pt idx="6">
                  <c:v>5.1738160570108773</c:v>
                </c:pt>
                <c:pt idx="7">
                  <c:v>10.499811518540897</c:v>
                </c:pt>
                <c:pt idx="8">
                  <c:v>8.9816342694960571</c:v>
                </c:pt>
                <c:pt idx="9">
                  <c:v>8.095438514610672</c:v>
                </c:pt>
                <c:pt idx="10">
                  <c:v>8.7502015478877784</c:v>
                </c:pt>
                <c:pt idx="11">
                  <c:v>6.7345833994455901</c:v>
                </c:pt>
                <c:pt idx="13">
                  <c:v>9.3344556620545109</c:v>
                </c:pt>
                <c:pt idx="14" formatCode="0.00">
                  <c:v>7.84</c:v>
                </c:pt>
                <c:pt idx="15">
                  <c:v>39.539017337472004</c:v>
                </c:pt>
                <c:pt idx="17">
                  <c:v>12.402413529454154</c:v>
                </c:pt>
                <c:pt idx="18">
                  <c:v>17.268757597456784</c:v>
                </c:pt>
                <c:pt idx="19">
                  <c:v>16.995867663861684</c:v>
                </c:pt>
                <c:pt idx="21">
                  <c:v>9.140046027489813</c:v>
                </c:pt>
                <c:pt idx="22">
                  <c:v>12.16</c:v>
                </c:pt>
                <c:pt idx="23">
                  <c:v>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A0-40D6-B897-427B8129AB11}"/>
            </c:ext>
          </c:extLst>
        </c:ser>
        <c:ser>
          <c:idx val="4"/>
          <c:order val="4"/>
          <c:tx>
            <c:v>Oth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'LU figure'!$A$5:$A$28</c:f>
              <c:strCache>
                <c:ptCount val="24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  <c:pt idx="12">
                  <c:v>***</c:v>
                </c:pt>
                <c:pt idx="13">
                  <c:v>Huron</c:v>
                </c:pt>
                <c:pt idx="14">
                  <c:v>Old Woman Creek</c:v>
                </c:pt>
                <c:pt idx="15">
                  <c:v>Cuyahoga</c:v>
                </c:pt>
                <c:pt idx="16">
                  <c:v>*</c:v>
                </c:pt>
                <c:pt idx="17">
                  <c:v>Muskingum</c:v>
                </c:pt>
                <c:pt idx="18">
                  <c:v>Scioto</c:v>
                </c:pt>
                <c:pt idx="19">
                  <c:v>Great Miami</c:v>
                </c:pt>
                <c:pt idx="20">
                  <c:v>**</c:v>
                </c:pt>
                <c:pt idx="21">
                  <c:v>Chickasaw</c:v>
                </c:pt>
                <c:pt idx="22">
                  <c:v>Coldwater</c:v>
                </c:pt>
                <c:pt idx="23">
                  <c:v>Beaver</c:v>
                </c:pt>
              </c:strCache>
            </c:strRef>
          </c:cat>
          <c:val>
            <c:numRef>
              <c:f>'LU figure'!$F$5:$F$28</c:f>
              <c:numCache>
                <c:formatCode>0.0</c:formatCode>
                <c:ptCount val="24"/>
                <c:pt idx="0">
                  <c:v>9.9926609834282214</c:v>
                </c:pt>
                <c:pt idx="1">
                  <c:v>3.2435336202609828</c:v>
                </c:pt>
                <c:pt idx="2">
                  <c:v>1.6632328969478611</c:v>
                </c:pt>
                <c:pt idx="3">
                  <c:v>8.322841305728268</c:v>
                </c:pt>
                <c:pt idx="4">
                  <c:v>1.7703201970443347</c:v>
                </c:pt>
                <c:pt idx="5">
                  <c:v>0.21696421917172087</c:v>
                </c:pt>
                <c:pt idx="6">
                  <c:v>0.16019503721104683</c:v>
                </c:pt>
                <c:pt idx="7">
                  <c:v>0.98175602753378477</c:v>
                </c:pt>
                <c:pt idx="8">
                  <c:v>0.80310880829015541</c:v>
                </c:pt>
                <c:pt idx="9">
                  <c:v>1.1769379610761765</c:v>
                </c:pt>
                <c:pt idx="10">
                  <c:v>0.22069493711705904</c:v>
                </c:pt>
                <c:pt idx="11">
                  <c:v>0.65591136913039816</c:v>
                </c:pt>
                <c:pt idx="13">
                  <c:v>0.98155061671425536</c:v>
                </c:pt>
                <c:pt idx="14" formatCode="0.00">
                  <c:v>0.19</c:v>
                </c:pt>
                <c:pt idx="15">
                  <c:v>6.0588056627675257</c:v>
                </c:pt>
                <c:pt idx="17">
                  <c:v>2.2161144923376304</c:v>
                </c:pt>
                <c:pt idx="18">
                  <c:v>1.4762526239197535</c:v>
                </c:pt>
                <c:pt idx="19">
                  <c:v>1.3522321809164972</c:v>
                </c:pt>
                <c:pt idx="21">
                  <c:v>0.12668116462217341</c:v>
                </c:pt>
                <c:pt idx="22">
                  <c:v>2.4500000000000002</c:v>
                </c:pt>
                <c:pt idx="23">
                  <c:v>18.7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A0-40D6-B897-427B8129AB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1"/>
        <c:overlap val="100"/>
        <c:axId val="345067903"/>
        <c:axId val="339972351"/>
      </c:barChart>
      <c:catAx>
        <c:axId val="3450679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9972351"/>
        <c:crosses val="autoZero"/>
        <c:auto val="1"/>
        <c:lblAlgn val="ctr"/>
        <c:lblOffset val="100"/>
        <c:noMultiLvlLbl val="0"/>
      </c:catAx>
      <c:valAx>
        <c:axId val="339972351"/>
        <c:scaling>
          <c:orientation val="minMax"/>
          <c:max val="100"/>
        </c:scaling>
        <c:delete val="0"/>
        <c:axPos val="l"/>
        <c:numFmt formatCode="0.0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45067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'LU figure'!$A$5:$A$16</c:f>
              <c:strCache>
                <c:ptCount val="12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</c:strCache>
            </c:strRef>
          </c:cat>
          <c:val>
            <c:numRef>
              <c:f>'LU figure'!$B$5:$B$16</c:f>
              <c:numCache>
                <c:formatCode>0.0</c:formatCode>
                <c:ptCount val="12"/>
                <c:pt idx="0">
                  <c:v>49.564225060508562</c:v>
                </c:pt>
                <c:pt idx="1">
                  <c:v>73.333818823538621</c:v>
                </c:pt>
                <c:pt idx="2">
                  <c:v>15.595910714486628</c:v>
                </c:pt>
                <c:pt idx="3">
                  <c:v>60.537973269152758</c:v>
                </c:pt>
                <c:pt idx="4">
                  <c:v>77.455357142857139</c:v>
                </c:pt>
                <c:pt idx="5">
                  <c:v>90.258981676650251</c:v>
                </c:pt>
                <c:pt idx="6">
                  <c:v>92.047298497739689</c:v>
                </c:pt>
                <c:pt idx="7">
                  <c:v>78.75375026464863</c:v>
                </c:pt>
                <c:pt idx="8">
                  <c:v>84.417345962179468</c:v>
                </c:pt>
                <c:pt idx="9">
                  <c:v>77.591756850423437</c:v>
                </c:pt>
                <c:pt idx="10">
                  <c:v>71.853837471783294</c:v>
                </c:pt>
                <c:pt idx="11">
                  <c:v>81.071205234224053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A1-4715-ABCB-E75BEB81F8F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'LU figure'!$A$5:$A$16</c:f>
              <c:strCache>
                <c:ptCount val="12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</c:strCache>
            </c:strRef>
          </c:cat>
          <c:val>
            <c:numRef>
              <c:f>'LU figure'!$C$5:$C$16</c:f>
              <c:numCache>
                <c:formatCode>0.0</c:formatCode>
                <c:ptCount val="12"/>
                <c:pt idx="0">
                  <c:v>18.686529338401989</c:v>
                </c:pt>
                <c:pt idx="1">
                  <c:v>6.3430947896306131</c:v>
                </c:pt>
                <c:pt idx="2">
                  <c:v>10.563590481100592</c:v>
                </c:pt>
                <c:pt idx="3">
                  <c:v>14.793632428503123</c:v>
                </c:pt>
                <c:pt idx="4">
                  <c:v>8.6360837438423648</c:v>
                </c:pt>
                <c:pt idx="5">
                  <c:v>0.49017498912200441</c:v>
                </c:pt>
                <c:pt idx="6">
                  <c:v>0.80551552598851073</c:v>
                </c:pt>
                <c:pt idx="7">
                  <c:v>3.4904700675951319</c:v>
                </c:pt>
                <c:pt idx="8">
                  <c:v>1.3116728820830996</c:v>
                </c:pt>
                <c:pt idx="9">
                  <c:v>4.3158466438585457</c:v>
                </c:pt>
                <c:pt idx="10">
                  <c:v>7.7646323766526928</c:v>
                </c:pt>
                <c:pt idx="11">
                  <c:v>1.992934544198766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A1-4715-ABCB-E75BEB81F8FA}"/>
            </c:ext>
          </c:extLst>
        </c:ser>
        <c:ser>
          <c:idx val="2"/>
          <c:order val="2"/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'LU figure'!$A$5:$A$16</c:f>
              <c:strCache>
                <c:ptCount val="12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</c:strCache>
            </c:strRef>
          </c:cat>
          <c:val>
            <c:numRef>
              <c:f>'LU figure'!$D$5:$D$16</c:f>
              <c:numCache>
                <c:formatCode>0.0</c:formatCode>
                <c:ptCount val="12"/>
                <c:pt idx="0">
                  <c:v>11.00609185035872</c:v>
                </c:pt>
                <c:pt idx="1">
                  <c:v>6.4692965362605825</c:v>
                </c:pt>
                <c:pt idx="2">
                  <c:v>28.306925405020472</c:v>
                </c:pt>
                <c:pt idx="3">
                  <c:v>8.8577449716272536</c:v>
                </c:pt>
                <c:pt idx="4">
                  <c:v>7.8663793103448274</c:v>
                </c:pt>
                <c:pt idx="5">
                  <c:v>2.4867753093924327</c:v>
                </c:pt>
                <c:pt idx="6">
                  <c:v>1.8131748820498643</c:v>
                </c:pt>
                <c:pt idx="7">
                  <c:v>6.2742121216815647</c:v>
                </c:pt>
                <c:pt idx="8">
                  <c:v>4.4862380779512234</c:v>
                </c:pt>
                <c:pt idx="9">
                  <c:v>8.8200200300311558</c:v>
                </c:pt>
                <c:pt idx="10">
                  <c:v>11.410633666559175</c:v>
                </c:pt>
                <c:pt idx="11">
                  <c:v>9.5453654530011836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A1-4715-ABCB-E75BEB81F8FA}"/>
            </c:ext>
          </c:extLst>
        </c:ser>
        <c:ser>
          <c:idx val="3"/>
          <c:order val="3"/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'LU figure'!$A$5:$A$16</c:f>
              <c:strCache>
                <c:ptCount val="12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</c:strCache>
            </c:strRef>
          </c:cat>
          <c:val>
            <c:numRef>
              <c:f>'LU figure'!$E$5:$E$16</c:f>
              <c:numCache>
                <c:formatCode>0.0</c:formatCode>
                <c:ptCount val="12"/>
                <c:pt idx="0">
                  <c:v>10.750492767302514</c:v>
                </c:pt>
                <c:pt idx="1">
                  <c:v>10.61025623030921</c:v>
                </c:pt>
                <c:pt idx="2">
                  <c:v>43.870340502444449</c:v>
                </c:pt>
                <c:pt idx="3">
                  <c:v>7.4878080249885945</c:v>
                </c:pt>
                <c:pt idx="4">
                  <c:v>4.2718596059113292</c:v>
                </c:pt>
                <c:pt idx="5">
                  <c:v>6.547103805663598</c:v>
                </c:pt>
                <c:pt idx="6">
                  <c:v>5.1738160570108773</c:v>
                </c:pt>
                <c:pt idx="7">
                  <c:v>10.499811518540897</c:v>
                </c:pt>
                <c:pt idx="8">
                  <c:v>8.9816342694960571</c:v>
                </c:pt>
                <c:pt idx="9">
                  <c:v>8.095438514610672</c:v>
                </c:pt>
                <c:pt idx="10">
                  <c:v>8.7502015478877784</c:v>
                </c:pt>
                <c:pt idx="11">
                  <c:v>6.7345833994455901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BA1-4715-ABCB-E75BEB81F8FA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'LU figure'!$A$5:$A$16</c:f>
              <c:strCache>
                <c:ptCount val="12"/>
                <c:pt idx="0">
                  <c:v>Raisin</c:v>
                </c:pt>
                <c:pt idx="1">
                  <c:v>Maumee</c:v>
                </c:pt>
                <c:pt idx="2">
                  <c:v>Wolf</c:v>
                </c:pt>
                <c:pt idx="3">
                  <c:v>Tiffin</c:v>
                </c:pt>
                <c:pt idx="4">
                  <c:v>Lost</c:v>
                </c:pt>
                <c:pt idx="5">
                  <c:v>S Turkeyfoot</c:v>
                </c:pt>
                <c:pt idx="6">
                  <c:v>West</c:v>
                </c:pt>
                <c:pt idx="7">
                  <c:v>Blanchard</c:v>
                </c:pt>
                <c:pt idx="8">
                  <c:v>Portage</c:v>
                </c:pt>
                <c:pt idx="9">
                  <c:v>Sandusky</c:v>
                </c:pt>
                <c:pt idx="10">
                  <c:v>Rock</c:v>
                </c:pt>
                <c:pt idx="11">
                  <c:v>Honey</c:v>
                </c:pt>
              </c:strCache>
            </c:strRef>
          </c:cat>
          <c:val>
            <c:numRef>
              <c:f>'LU figure'!$F$5:$F$16</c:f>
              <c:numCache>
                <c:formatCode>0.0</c:formatCode>
                <c:ptCount val="12"/>
                <c:pt idx="0">
                  <c:v>9.9926609834282214</c:v>
                </c:pt>
                <c:pt idx="1">
                  <c:v>3.2435336202609828</c:v>
                </c:pt>
                <c:pt idx="2">
                  <c:v>1.6632328969478611</c:v>
                </c:pt>
                <c:pt idx="3">
                  <c:v>8.322841305728268</c:v>
                </c:pt>
                <c:pt idx="4">
                  <c:v>1.7703201970443347</c:v>
                </c:pt>
                <c:pt idx="5">
                  <c:v>0.21696421917172087</c:v>
                </c:pt>
                <c:pt idx="6">
                  <c:v>0.16019503721104683</c:v>
                </c:pt>
                <c:pt idx="7">
                  <c:v>0.98175602753378477</c:v>
                </c:pt>
                <c:pt idx="8">
                  <c:v>0.80310880829015541</c:v>
                </c:pt>
                <c:pt idx="9">
                  <c:v>1.1769379610761765</c:v>
                </c:pt>
                <c:pt idx="10">
                  <c:v>0.22069493711705904</c:v>
                </c:pt>
                <c:pt idx="11">
                  <c:v>0.65591136913039816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A1-4715-ABCB-E75BEB81F8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1"/>
        <c:overlap val="100"/>
        <c:axId val="345067903"/>
        <c:axId val="339972351"/>
      </c:barChart>
      <c:catAx>
        <c:axId val="3450679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39972351"/>
        <c:crosses val="autoZero"/>
        <c:auto val="1"/>
        <c:lblAlgn val="ctr"/>
        <c:lblOffset val="100"/>
        <c:noMultiLvlLbl val="0"/>
      </c:catAx>
      <c:valAx>
        <c:axId val="339972351"/>
        <c:scaling>
          <c:orientation val="minMax"/>
          <c:max val="100"/>
        </c:scaling>
        <c:delete val="0"/>
        <c:axPos val="l"/>
        <c:numFmt formatCode="0.0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45067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371474</xdr:colOff>
      <xdr:row>2</xdr:row>
      <xdr:rowOff>114299</xdr:rowOff>
    </xdr:from>
    <xdr:to>
      <xdr:col>15</xdr:col>
      <xdr:colOff>523875</xdr:colOff>
      <xdr:row>27</xdr:row>
      <xdr:rowOff>28574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C84E5A5-86C4-4800-84A3-EB72E7BD1E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33</xdr:row>
      <xdr:rowOff>0</xdr:rowOff>
    </xdr:from>
    <xdr:to>
      <xdr:col>15</xdr:col>
      <xdr:colOff>152401</xdr:colOff>
      <xdr:row>58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DF0A059-9964-498B-810B-98161051E2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aterdata.usgs.gov/oh/nwis/uv/?site_no=04188324" TargetMode="External"/><Relationship Id="rId1" Type="http://schemas.openxmlformats.org/officeDocument/2006/relationships/hyperlink" Target="https://waterdata.usgs.gov/oh/nwis/uv/?site_no=0418825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8"/>
  <sheetViews>
    <sheetView zoomScale="80" zoomScaleNormal="80" zoomScalePageLayoutView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Y14" sqref="Y14"/>
    </sheetView>
  </sheetViews>
  <sheetFormatPr defaultColWidth="8.85546875" defaultRowHeight="15"/>
  <cols>
    <col min="1" max="1" width="4.7109375" customWidth="1"/>
    <col min="2" max="2" width="22.85546875" customWidth="1"/>
    <col min="3" max="3" width="19.42578125" customWidth="1"/>
    <col min="4" max="4" width="21.7109375" bestFit="1" customWidth="1"/>
    <col min="5" max="5" width="24.28515625" bestFit="1" customWidth="1"/>
    <col min="6" max="7" width="12.42578125" customWidth="1"/>
    <col min="8" max="8" width="16.42578125" customWidth="1"/>
    <col min="9" max="9" width="12.42578125" bestFit="1" customWidth="1"/>
    <col min="14" max="15" width="21.85546875" customWidth="1"/>
    <col min="16" max="16" width="17" bestFit="1" customWidth="1"/>
    <col min="17" max="17" width="17.7109375" bestFit="1" customWidth="1"/>
    <col min="19" max="19" width="16.28515625" bestFit="1" customWidth="1"/>
    <col min="20" max="20" width="12.140625" bestFit="1" customWidth="1"/>
    <col min="25" max="25" width="27.140625" customWidth="1"/>
  </cols>
  <sheetData>
    <row r="1" spans="1: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5" ht="15" customHeight="1">
      <c r="A2" s="17"/>
      <c r="B2" s="17"/>
      <c r="C2" s="17"/>
      <c r="D2" s="17"/>
      <c r="E2" s="17"/>
      <c r="F2" s="94" t="s">
        <v>0</v>
      </c>
      <c r="G2" s="94" t="s">
        <v>0</v>
      </c>
      <c r="H2" s="94" t="s">
        <v>0</v>
      </c>
      <c r="I2" s="96" t="s">
        <v>1</v>
      </c>
      <c r="J2" s="97"/>
      <c r="K2" s="97"/>
      <c r="L2" s="97"/>
      <c r="M2" s="98"/>
      <c r="N2" s="91" t="s">
        <v>2</v>
      </c>
      <c r="O2" s="91" t="s">
        <v>65</v>
      </c>
      <c r="P2" s="17"/>
      <c r="Q2" s="17"/>
      <c r="R2" s="17"/>
    </row>
    <row r="3" spans="1:25">
      <c r="A3" s="15"/>
      <c r="B3" s="15"/>
      <c r="C3" s="15"/>
      <c r="D3" s="15"/>
      <c r="E3" s="15"/>
      <c r="F3" s="95"/>
      <c r="G3" s="95"/>
      <c r="H3" s="95"/>
      <c r="I3" s="21" t="s">
        <v>3</v>
      </c>
      <c r="J3" s="21" t="s">
        <v>4</v>
      </c>
      <c r="K3" s="21" t="s">
        <v>5</v>
      </c>
      <c r="L3" s="21" t="s">
        <v>6</v>
      </c>
      <c r="M3" s="21" t="s">
        <v>7</v>
      </c>
      <c r="N3" s="92"/>
      <c r="O3" s="92"/>
      <c r="P3" s="89" t="s">
        <v>78</v>
      </c>
      <c r="Q3" s="90"/>
      <c r="R3" s="15"/>
      <c r="S3" s="89" t="s">
        <v>79</v>
      </c>
      <c r="T3" s="90"/>
    </row>
    <row r="4" spans="1:25" ht="45">
      <c r="A4" s="15"/>
      <c r="B4" s="3" t="s">
        <v>8</v>
      </c>
      <c r="C4" s="3" t="s">
        <v>9</v>
      </c>
      <c r="D4" s="3" t="s">
        <v>10</v>
      </c>
      <c r="E4" s="4" t="s">
        <v>11</v>
      </c>
      <c r="F4" s="22" t="s">
        <v>12</v>
      </c>
      <c r="G4" s="22" t="s">
        <v>51</v>
      </c>
      <c r="H4" s="22" t="s">
        <v>56</v>
      </c>
      <c r="I4" s="23" t="s">
        <v>13</v>
      </c>
      <c r="J4" s="23" t="s">
        <v>13</v>
      </c>
      <c r="K4" s="23" t="s">
        <v>13</v>
      </c>
      <c r="L4" s="23" t="s">
        <v>13</v>
      </c>
      <c r="M4" s="23" t="s">
        <v>13</v>
      </c>
      <c r="N4" s="93"/>
      <c r="O4" s="93"/>
      <c r="P4" s="4" t="s">
        <v>14</v>
      </c>
      <c r="Q4" s="4" t="s">
        <v>15</v>
      </c>
      <c r="R4" s="15"/>
      <c r="S4" s="4" t="s">
        <v>14</v>
      </c>
      <c r="T4" s="4" t="s">
        <v>15</v>
      </c>
      <c r="V4" s="56" t="s">
        <v>80</v>
      </c>
      <c r="X4" s="85" t="s">
        <v>142</v>
      </c>
      <c r="Y4" s="85" t="s">
        <v>141</v>
      </c>
    </row>
    <row r="5" spans="1:25">
      <c r="A5" s="15"/>
      <c r="B5" s="6" t="s">
        <v>16</v>
      </c>
      <c r="C5" s="5" t="s">
        <v>17</v>
      </c>
      <c r="D5" s="6" t="s">
        <v>18</v>
      </c>
      <c r="E5" s="7">
        <v>4208000</v>
      </c>
      <c r="F5" s="26">
        <v>1830</v>
      </c>
      <c r="G5" s="26">
        <f>0.386102*F5</f>
        <v>706.56665999999996</v>
      </c>
      <c r="H5" s="20">
        <f t="shared" ref="H5:H17" si="0">G5*640</f>
        <v>452202.66239999997</v>
      </c>
      <c r="I5" s="24">
        <v>9.0083242583853771</v>
      </c>
      <c r="J5" s="24">
        <v>11.838917821716166</v>
      </c>
      <c r="K5" s="24">
        <v>33.554934919658933</v>
      </c>
      <c r="L5" s="24">
        <v>39.539017337472004</v>
      </c>
      <c r="M5" s="24">
        <v>6.0588056627675257</v>
      </c>
      <c r="N5" s="8">
        <v>1982</v>
      </c>
      <c r="O5" s="8" t="s">
        <v>66</v>
      </c>
      <c r="P5" s="51">
        <v>41.395277778000001</v>
      </c>
      <c r="Q5" s="51">
        <v>-81.63</v>
      </c>
      <c r="R5" s="15"/>
      <c r="S5" s="51"/>
      <c r="T5" s="51"/>
      <c r="V5" s="57" t="s">
        <v>81</v>
      </c>
      <c r="X5">
        <v>808</v>
      </c>
      <c r="Y5" s="86">
        <f>G5/X5</f>
        <v>0.87446368811881181</v>
      </c>
    </row>
    <row r="6" spans="1:25">
      <c r="A6" s="15"/>
      <c r="B6" s="10" t="s">
        <v>19</v>
      </c>
      <c r="C6" s="9" t="s">
        <v>17</v>
      </c>
      <c r="D6" s="10" t="s">
        <v>18</v>
      </c>
      <c r="E6" s="11">
        <v>4176500</v>
      </c>
      <c r="F6" s="20">
        <v>2698</v>
      </c>
      <c r="G6" s="20">
        <f t="shared" ref="G6:G26" si="1">0.386102*F6</f>
        <v>1041.7031959999999</v>
      </c>
      <c r="H6" s="20">
        <f t="shared" si="0"/>
        <v>666690.04544000002</v>
      </c>
      <c r="I6" s="25">
        <v>49.564225060508562</v>
      </c>
      <c r="J6" s="25">
        <v>18.686529338401989</v>
      </c>
      <c r="K6" s="25">
        <v>11.00609185035872</v>
      </c>
      <c r="L6" s="25">
        <v>10.750492767302514</v>
      </c>
      <c r="M6" s="25">
        <v>9.9926609834282214</v>
      </c>
      <c r="N6" s="12">
        <v>1982</v>
      </c>
      <c r="O6" s="12" t="s">
        <v>66</v>
      </c>
      <c r="P6" s="52">
        <v>41.960555556000003</v>
      </c>
      <c r="Q6" s="52">
        <v>-83.531111111000001</v>
      </c>
      <c r="R6" s="15"/>
      <c r="S6" s="52"/>
      <c r="T6" s="52"/>
      <c r="V6" s="57" t="s">
        <v>82</v>
      </c>
      <c r="X6">
        <v>1072</v>
      </c>
      <c r="Y6" s="86">
        <f>G6/X6</f>
        <v>0.97173805597014917</v>
      </c>
    </row>
    <row r="7" spans="1:25" ht="17.25">
      <c r="A7" s="15"/>
      <c r="B7" s="10" t="s">
        <v>20</v>
      </c>
      <c r="C7" s="9" t="s">
        <v>17</v>
      </c>
      <c r="D7" s="10" t="s">
        <v>18</v>
      </c>
      <c r="E7" s="11">
        <v>4195500</v>
      </c>
      <c r="F7" s="20">
        <v>1108</v>
      </c>
      <c r="G7" s="20">
        <f>0.386102*F7</f>
        <v>427.801016</v>
      </c>
      <c r="H7" s="20">
        <f t="shared" si="0"/>
        <v>273792.65023999999</v>
      </c>
      <c r="I7" s="25">
        <v>84.417345962179468</v>
      </c>
      <c r="J7" s="25">
        <v>1.3116728820830996</v>
      </c>
      <c r="K7" s="25">
        <v>4.4862380779512234</v>
      </c>
      <c r="L7" s="25">
        <v>8.9816342694960571</v>
      </c>
      <c r="M7" s="25">
        <v>0.80310880829015541</v>
      </c>
      <c r="N7" s="13" t="s">
        <v>21</v>
      </c>
      <c r="O7" s="13" t="s">
        <v>66</v>
      </c>
      <c r="P7" s="52">
        <v>41.449444444000001</v>
      </c>
      <c r="Q7" s="52">
        <v>-83.361388888999997</v>
      </c>
      <c r="R7" s="15"/>
      <c r="S7" s="52"/>
      <c r="T7" s="52"/>
      <c r="V7" s="57" t="s">
        <v>83</v>
      </c>
      <c r="X7">
        <v>585</v>
      </c>
      <c r="Y7" s="86">
        <f>G7/X7</f>
        <v>0.73128378803418803</v>
      </c>
    </row>
    <row r="8" spans="1:25" s="31" customFormat="1">
      <c r="A8" s="30"/>
      <c r="B8" s="10" t="s">
        <v>47</v>
      </c>
      <c r="C8" s="10" t="s">
        <v>52</v>
      </c>
      <c r="D8" s="10" t="s">
        <v>18</v>
      </c>
      <c r="E8" s="15">
        <v>4193999</v>
      </c>
      <c r="F8" s="35">
        <f>G8*2.58999</f>
        <v>64.231752</v>
      </c>
      <c r="G8" s="36">
        <v>24.8</v>
      </c>
      <c r="H8" s="36">
        <f>G8*640</f>
        <v>15872</v>
      </c>
      <c r="I8" s="25">
        <v>15.595910714486628</v>
      </c>
      <c r="J8" s="25">
        <v>10.563590481100592</v>
      </c>
      <c r="K8" s="25">
        <v>28.306925405020472</v>
      </c>
      <c r="L8" s="25">
        <v>43.870340502444449</v>
      </c>
      <c r="M8" s="25">
        <v>1.6632328969478611</v>
      </c>
      <c r="N8" s="37">
        <v>2018</v>
      </c>
      <c r="O8" s="37" t="s">
        <v>66</v>
      </c>
      <c r="P8" s="53">
        <f>41+(36/60)+(34/3600)</f>
        <v>41.609444444444449</v>
      </c>
      <c r="Q8" s="53">
        <f>-(83+(41/60)+(3/3600))</f>
        <v>-83.68416666666667</v>
      </c>
      <c r="R8" s="30" t="s">
        <v>90</v>
      </c>
      <c r="S8" s="53"/>
      <c r="T8" s="53"/>
      <c r="V8" s="57" t="s">
        <v>84</v>
      </c>
    </row>
    <row r="9" spans="1:25" s="31" customFormat="1">
      <c r="A9" s="30"/>
      <c r="B9" s="10" t="s">
        <v>48</v>
      </c>
      <c r="C9" s="10" t="s">
        <v>23</v>
      </c>
      <c r="D9" s="10" t="s">
        <v>18</v>
      </c>
      <c r="E9" s="15">
        <v>4192599</v>
      </c>
      <c r="F9" s="35">
        <f>G9*2.58999</f>
        <v>300.43883999999997</v>
      </c>
      <c r="G9" s="36">
        <v>116</v>
      </c>
      <c r="H9" s="36">
        <f t="shared" si="0"/>
        <v>74240</v>
      </c>
      <c r="I9" s="25">
        <v>90.258981676650251</v>
      </c>
      <c r="J9" s="25">
        <v>0.49017498912200441</v>
      </c>
      <c r="K9" s="25">
        <v>2.4867753093924327</v>
      </c>
      <c r="L9" s="25">
        <v>6.547103805663598</v>
      </c>
      <c r="M9" s="25">
        <v>0.21696421917172087</v>
      </c>
      <c r="N9" s="37">
        <v>2018</v>
      </c>
      <c r="O9" s="37" t="s">
        <v>66</v>
      </c>
      <c r="P9" s="53">
        <f>41+(21/60)+(23/3600)</f>
        <v>41.356388888888887</v>
      </c>
      <c r="Q9" s="53">
        <f>-(84+(3/60)+(3/3600))</f>
        <v>-84.05083333333333</v>
      </c>
      <c r="R9" s="30" t="s">
        <v>90</v>
      </c>
      <c r="S9" s="53"/>
      <c r="T9" s="53"/>
      <c r="V9" s="57" t="s">
        <v>84</v>
      </c>
    </row>
    <row r="10" spans="1:25" s="31" customFormat="1">
      <c r="A10" s="30"/>
      <c r="B10" s="10" t="s">
        <v>50</v>
      </c>
      <c r="C10" s="10" t="s">
        <v>23</v>
      </c>
      <c r="D10" s="10" t="s">
        <v>18</v>
      </c>
      <c r="E10" s="15">
        <v>4192574</v>
      </c>
      <c r="F10" s="35">
        <f>G10*2.58999</f>
        <v>40.144844999999997</v>
      </c>
      <c r="G10" s="39">
        <v>15.5</v>
      </c>
      <c r="H10" s="36">
        <f t="shared" si="0"/>
        <v>9920</v>
      </c>
      <c r="I10" s="25">
        <v>92.047298497739689</v>
      </c>
      <c r="J10" s="25">
        <v>0.80551552598851073</v>
      </c>
      <c r="K10" s="25">
        <v>1.8131748820498643</v>
      </c>
      <c r="L10" s="25">
        <v>5.1738160570108773</v>
      </c>
      <c r="M10" s="25">
        <v>0.16019503721104683</v>
      </c>
      <c r="N10" s="37">
        <v>2018</v>
      </c>
      <c r="O10" s="37" t="s">
        <v>66</v>
      </c>
      <c r="P10" s="53">
        <f>41+(15/60)+(43/3600)</f>
        <v>41.261944444444445</v>
      </c>
      <c r="Q10" s="53">
        <f>-(84+(2/60)+(12/3600))</f>
        <v>-84.036666666666662</v>
      </c>
      <c r="R10" s="30" t="s">
        <v>90</v>
      </c>
      <c r="S10" s="53">
        <v>41.268507999999997</v>
      </c>
      <c r="T10" s="53">
        <v>-84.021050000000002</v>
      </c>
      <c r="V10" s="57" t="s">
        <v>84</v>
      </c>
    </row>
    <row r="11" spans="1:25" ht="17.25">
      <c r="A11" s="15"/>
      <c r="B11" s="10" t="s">
        <v>22</v>
      </c>
      <c r="C11" s="10" t="s">
        <v>23</v>
      </c>
      <c r="D11" s="10" t="s">
        <v>18</v>
      </c>
      <c r="E11" s="15">
        <v>4185440</v>
      </c>
      <c r="F11" s="35">
        <v>11</v>
      </c>
      <c r="G11" s="36">
        <f>0.386102*F11</f>
        <v>4.2471220000000001</v>
      </c>
      <c r="H11" s="40">
        <f>G11*640</f>
        <v>2718.1580800000002</v>
      </c>
      <c r="I11" s="25">
        <v>77.455357142857139</v>
      </c>
      <c r="J11" s="25">
        <v>8.6360837438423648</v>
      </c>
      <c r="K11" s="25">
        <v>7.8663793103448274</v>
      </c>
      <c r="L11" s="25">
        <v>4.2718596059113292</v>
      </c>
      <c r="M11" s="25">
        <v>1.7703201970443347</v>
      </c>
      <c r="N11" s="25" t="s">
        <v>60</v>
      </c>
      <c r="O11" s="25" t="s">
        <v>66</v>
      </c>
      <c r="P11" s="53">
        <v>41.361666667000001</v>
      </c>
      <c r="Q11" s="53">
        <v>-84.691111110999998</v>
      </c>
      <c r="R11" s="15"/>
      <c r="S11" s="53"/>
      <c r="T11" s="53"/>
      <c r="V11" s="57" t="s">
        <v>83</v>
      </c>
    </row>
    <row r="12" spans="1:25" s="33" customFormat="1">
      <c r="A12" s="32"/>
      <c r="B12" s="10" t="s">
        <v>57</v>
      </c>
      <c r="C12" s="10" t="s">
        <v>59</v>
      </c>
      <c r="D12" s="10" t="s">
        <v>18</v>
      </c>
      <c r="E12" s="15">
        <v>4188252</v>
      </c>
      <c r="F12" s="35">
        <f>G12/0.386102</f>
        <v>44.487110918876354</v>
      </c>
      <c r="G12" s="40">
        <f>H12/640</f>
        <v>17.176562499999999</v>
      </c>
      <c r="H12" s="36">
        <v>10993</v>
      </c>
      <c r="I12" s="25">
        <v>84.7</v>
      </c>
      <c r="J12" s="25">
        <v>1.3</v>
      </c>
      <c r="K12" s="25">
        <v>3.5</v>
      </c>
      <c r="L12" s="25">
        <f>6.7+2.5</f>
        <v>9.1999999999999993</v>
      </c>
      <c r="M12" s="25">
        <v>1.4</v>
      </c>
      <c r="N12" s="37">
        <v>2018</v>
      </c>
      <c r="O12" s="37" t="s">
        <v>66</v>
      </c>
      <c r="P12" s="53">
        <v>40.865710999999997</v>
      </c>
      <c r="Q12" s="53">
        <v>-83.491378999999995</v>
      </c>
      <c r="R12" s="32"/>
      <c r="S12" s="53"/>
      <c r="T12" s="53"/>
      <c r="V12" s="57" t="s">
        <v>85</v>
      </c>
    </row>
    <row r="13" spans="1:25" s="33" customFormat="1">
      <c r="A13" s="32"/>
      <c r="B13" s="10" t="s">
        <v>58</v>
      </c>
      <c r="C13" s="10" t="s">
        <v>59</v>
      </c>
      <c r="D13" s="10" t="s">
        <v>18</v>
      </c>
      <c r="E13" s="15">
        <v>4188324</v>
      </c>
      <c r="F13" s="35">
        <f>G13/0.386102</f>
        <v>20.367836737442438</v>
      </c>
      <c r="G13" s="40">
        <f>H13/640</f>
        <v>7.8640625000000002</v>
      </c>
      <c r="H13" s="36">
        <v>5033</v>
      </c>
      <c r="I13" s="25">
        <v>78.3</v>
      </c>
      <c r="J13" s="25">
        <v>1.2</v>
      </c>
      <c r="K13" s="25">
        <v>4.7</v>
      </c>
      <c r="L13" s="25">
        <f>8.5+4.3</f>
        <v>12.8</v>
      </c>
      <c r="M13" s="25">
        <v>2.9</v>
      </c>
      <c r="N13" s="37">
        <v>2018</v>
      </c>
      <c r="O13" s="37" t="s">
        <v>66</v>
      </c>
      <c r="P13" s="53">
        <v>40.761367999999997</v>
      </c>
      <c r="Q13" s="53">
        <v>-83.595359999999999</v>
      </c>
      <c r="R13" s="32"/>
      <c r="S13" s="53"/>
      <c r="T13" s="53"/>
      <c r="V13" s="57" t="s">
        <v>85</v>
      </c>
    </row>
    <row r="14" spans="1:25">
      <c r="A14" s="15"/>
      <c r="B14" s="10" t="s">
        <v>24</v>
      </c>
      <c r="C14" s="10" t="s">
        <v>23</v>
      </c>
      <c r="D14" s="10" t="s">
        <v>18</v>
      </c>
      <c r="E14" s="15">
        <v>4189000</v>
      </c>
      <c r="F14" s="36">
        <v>896</v>
      </c>
      <c r="G14" s="36">
        <f t="shared" si="1"/>
        <v>345.94739199999998</v>
      </c>
      <c r="H14" s="36">
        <f t="shared" si="0"/>
        <v>221406.33087999999</v>
      </c>
      <c r="I14" s="25">
        <v>78.75375026464863</v>
      </c>
      <c r="J14" s="25">
        <v>3.4904700675951319</v>
      </c>
      <c r="K14" s="25">
        <v>6.2742121216815647</v>
      </c>
      <c r="L14" s="25">
        <v>10.499811518540897</v>
      </c>
      <c r="M14" s="25">
        <v>0.98175602753378477</v>
      </c>
      <c r="N14" s="37">
        <v>2008</v>
      </c>
      <c r="O14" s="37" t="s">
        <v>66</v>
      </c>
      <c r="P14" s="53">
        <v>41.055833</v>
      </c>
      <c r="Q14" s="53">
        <v>-83.688055555999995</v>
      </c>
      <c r="R14" s="15"/>
      <c r="S14" s="53"/>
      <c r="T14" s="53"/>
      <c r="V14" s="57" t="s">
        <v>83</v>
      </c>
      <c r="X14">
        <v>771</v>
      </c>
      <c r="Y14" s="86">
        <f t="shared" ref="Y14:Y16" si="2">G14/X14</f>
        <v>0.4486996005188067</v>
      </c>
    </row>
    <row r="15" spans="1:25">
      <c r="A15" s="15"/>
      <c r="B15" s="10" t="s">
        <v>25</v>
      </c>
      <c r="C15" s="10" t="s">
        <v>23</v>
      </c>
      <c r="D15" s="10" t="s">
        <v>18</v>
      </c>
      <c r="E15" s="15">
        <v>4185000</v>
      </c>
      <c r="F15" s="36">
        <v>1061</v>
      </c>
      <c r="G15" s="36">
        <f t="shared" si="1"/>
        <v>409.654222</v>
      </c>
      <c r="H15" s="36">
        <f t="shared" si="0"/>
        <v>262178.70208000002</v>
      </c>
      <c r="I15" s="25">
        <v>60.537973269152758</v>
      </c>
      <c r="J15" s="25">
        <v>14.793632428503123</v>
      </c>
      <c r="K15" s="25">
        <v>8.8577449716272536</v>
      </c>
      <c r="L15" s="25">
        <v>7.4878080249885945</v>
      </c>
      <c r="M15" s="25">
        <v>8.322841305728268</v>
      </c>
      <c r="N15" s="37">
        <v>2008</v>
      </c>
      <c r="O15" s="37" t="s">
        <v>66</v>
      </c>
      <c r="P15" s="53">
        <v>41.504444444000001</v>
      </c>
      <c r="Q15" s="53">
        <v>-84.429722221999995</v>
      </c>
      <c r="R15" s="15"/>
      <c r="S15" s="53"/>
      <c r="T15" s="53"/>
      <c r="V15" s="57" t="s">
        <v>83</v>
      </c>
      <c r="X15">
        <v>779</v>
      </c>
      <c r="Y15" s="86">
        <f t="shared" si="2"/>
        <v>0.52587191527599486</v>
      </c>
    </row>
    <row r="16" spans="1:25" ht="17.25">
      <c r="A16" s="15"/>
      <c r="B16" s="10" t="s">
        <v>23</v>
      </c>
      <c r="C16" s="9" t="s">
        <v>17</v>
      </c>
      <c r="D16" s="10" t="s">
        <v>18</v>
      </c>
      <c r="E16" s="15">
        <v>4193500</v>
      </c>
      <c r="F16" s="36">
        <v>16395</v>
      </c>
      <c r="G16" s="36">
        <f t="shared" si="1"/>
        <v>6330.1422899999998</v>
      </c>
      <c r="H16" s="36">
        <f t="shared" si="0"/>
        <v>4051291.0655999999</v>
      </c>
      <c r="I16" s="25">
        <v>73.333818823538621</v>
      </c>
      <c r="J16" s="25">
        <v>6.3430947896306131</v>
      </c>
      <c r="K16" s="25">
        <v>6.4692965362605825</v>
      </c>
      <c r="L16" s="25">
        <v>10.61025623030921</v>
      </c>
      <c r="M16" s="25">
        <v>3.2435336202609828</v>
      </c>
      <c r="N16" s="25" t="s">
        <v>61</v>
      </c>
      <c r="O16" s="25" t="s">
        <v>66</v>
      </c>
      <c r="P16" s="53">
        <v>41.5</v>
      </c>
      <c r="Q16" s="53">
        <v>-83.712777777777774</v>
      </c>
      <c r="R16" s="15"/>
      <c r="S16" s="53">
        <v>41.476111000000003</v>
      </c>
      <c r="T16" s="53">
        <v>-83.738889</v>
      </c>
      <c r="V16" s="57" t="s">
        <v>86</v>
      </c>
      <c r="X16">
        <v>6568</v>
      </c>
      <c r="Y16" s="86">
        <f t="shared" si="2"/>
        <v>0.96378536693057248</v>
      </c>
    </row>
    <row r="17" spans="1:25">
      <c r="A17" s="15"/>
      <c r="B17" s="10" t="s">
        <v>26</v>
      </c>
      <c r="C17" s="10" t="s">
        <v>27</v>
      </c>
      <c r="D17" s="10" t="s">
        <v>18</v>
      </c>
      <c r="E17" s="15">
        <v>4197170</v>
      </c>
      <c r="F17" s="35">
        <v>89.6</v>
      </c>
      <c r="G17" s="36">
        <f t="shared" si="1"/>
        <v>34.594739199999999</v>
      </c>
      <c r="H17" s="36">
        <f t="shared" si="0"/>
        <v>22140.633087999999</v>
      </c>
      <c r="I17" s="25">
        <v>71.853837471783294</v>
      </c>
      <c r="J17" s="25">
        <v>7.7646323766526928</v>
      </c>
      <c r="K17" s="25">
        <v>11.410633666559175</v>
      </c>
      <c r="L17" s="25">
        <v>8.7502015478877784</v>
      </c>
      <c r="M17" s="25">
        <v>0.22069493711705904</v>
      </c>
      <c r="N17" s="37">
        <v>1983</v>
      </c>
      <c r="O17" s="37" t="s">
        <v>66</v>
      </c>
      <c r="P17" s="53">
        <v>41.113611110999997</v>
      </c>
      <c r="Q17" s="53">
        <v>-83.168333333000007</v>
      </c>
      <c r="R17" s="15"/>
      <c r="S17" s="53"/>
      <c r="T17" s="53"/>
      <c r="V17" s="57" t="s">
        <v>83</v>
      </c>
    </row>
    <row r="18" spans="1:25" ht="17.25">
      <c r="A18" s="15"/>
      <c r="B18" s="10" t="s">
        <v>28</v>
      </c>
      <c r="C18" s="10" t="s">
        <v>27</v>
      </c>
      <c r="D18" s="10" t="s">
        <v>18</v>
      </c>
      <c r="E18" s="15">
        <v>4197100</v>
      </c>
      <c r="F18" s="41" t="s">
        <v>62</v>
      </c>
      <c r="G18" s="36">
        <f>0.386102*386</f>
        <v>149.035372</v>
      </c>
      <c r="H18" s="36">
        <f>G18*640</f>
        <v>95382.638080000004</v>
      </c>
      <c r="I18" s="25">
        <v>81.071205234224053</v>
      </c>
      <c r="J18" s="25">
        <v>1.992934544198766</v>
      </c>
      <c r="K18" s="25">
        <v>9.5453654530011836</v>
      </c>
      <c r="L18" s="25">
        <v>6.7345833994455901</v>
      </c>
      <c r="M18" s="25">
        <v>0.65591136913039816</v>
      </c>
      <c r="N18" s="37">
        <v>1976</v>
      </c>
      <c r="O18" s="37" t="s">
        <v>66</v>
      </c>
      <c r="P18" s="53">
        <v>41.022222222000003</v>
      </c>
      <c r="Q18" s="53">
        <v>-83.109722222000002</v>
      </c>
      <c r="R18" s="15"/>
      <c r="S18" s="53">
        <v>41.037297000000002</v>
      </c>
      <c r="T18" s="53">
        <v>-83.076627999999999</v>
      </c>
      <c r="V18" s="57" t="s">
        <v>83</v>
      </c>
    </row>
    <row r="19" spans="1:25">
      <c r="A19" s="15"/>
      <c r="B19" s="10" t="s">
        <v>27</v>
      </c>
      <c r="C19" s="9" t="s">
        <v>17</v>
      </c>
      <c r="D19" s="10" t="s">
        <v>18</v>
      </c>
      <c r="E19" s="15">
        <v>4198000</v>
      </c>
      <c r="F19" s="36">
        <v>3239</v>
      </c>
      <c r="G19" s="36">
        <f t="shared" si="1"/>
        <v>1250.584378</v>
      </c>
      <c r="H19" s="36">
        <f t="shared" ref="H19:H27" si="3">G19*640</f>
        <v>800374.00191999995</v>
      </c>
      <c r="I19" s="25">
        <v>77.591756850423437</v>
      </c>
      <c r="J19" s="25">
        <v>4.3158466438585457</v>
      </c>
      <c r="K19" s="25">
        <v>8.8200200300311558</v>
      </c>
      <c r="L19" s="25">
        <v>8.095438514610672</v>
      </c>
      <c r="M19" s="25">
        <v>1.1769379610761765</v>
      </c>
      <c r="N19" s="37">
        <v>1975</v>
      </c>
      <c r="O19" s="37" t="s">
        <v>66</v>
      </c>
      <c r="P19" s="53">
        <v>41.307777778000002</v>
      </c>
      <c r="Q19" s="53">
        <v>-83.158888888999996</v>
      </c>
      <c r="R19" s="15"/>
      <c r="S19" s="53"/>
      <c r="T19" s="53"/>
      <c r="V19" s="57" t="s">
        <v>83</v>
      </c>
      <c r="X19">
        <v>1420</v>
      </c>
      <c r="Y19" s="86">
        <f>G19/X19</f>
        <v>0.88069322394366201</v>
      </c>
    </row>
    <row r="20" spans="1:25" s="31" customFormat="1">
      <c r="A20" s="30"/>
      <c r="B20" s="10" t="s">
        <v>49</v>
      </c>
      <c r="C20" s="9" t="s">
        <v>17</v>
      </c>
      <c r="D20" s="10" t="s">
        <v>18</v>
      </c>
      <c r="E20" s="15">
        <v>4199000</v>
      </c>
      <c r="F20" s="35">
        <f>G20*2.58999</f>
        <v>960.88628999999992</v>
      </c>
      <c r="G20" s="36">
        <v>371</v>
      </c>
      <c r="H20" s="36">
        <f t="shared" si="3"/>
        <v>237440</v>
      </c>
      <c r="I20" s="25">
        <v>72.862474095518337</v>
      </c>
      <c r="J20" s="25">
        <v>2.1711942881834605</v>
      </c>
      <c r="K20" s="25">
        <v>14.650325337529427</v>
      </c>
      <c r="L20" s="25">
        <v>9.3344556620545109</v>
      </c>
      <c r="M20" s="25">
        <v>0.98155061671425536</v>
      </c>
      <c r="N20" s="37">
        <v>2018</v>
      </c>
      <c r="O20" s="37" t="s">
        <v>66</v>
      </c>
      <c r="P20" s="53">
        <f>41+(18/60)+(3/3600)</f>
        <v>41.30083333333333</v>
      </c>
      <c r="Q20" s="53">
        <f>-(82+(36/60)+(30/3600))</f>
        <v>-82.608333333333334</v>
      </c>
      <c r="R20" s="30" t="s">
        <v>90</v>
      </c>
      <c r="S20" s="53"/>
      <c r="T20" s="53"/>
      <c r="V20" s="57" t="s">
        <v>84</v>
      </c>
    </row>
    <row r="21" spans="1:25" ht="17.25">
      <c r="A21" s="15"/>
      <c r="B21" s="10" t="s">
        <v>55</v>
      </c>
      <c r="C21" s="9" t="s">
        <v>17</v>
      </c>
      <c r="D21" s="10" t="s">
        <v>18</v>
      </c>
      <c r="E21" s="15">
        <v>4199155</v>
      </c>
      <c r="F21" s="35">
        <f>G21*2.58999</f>
        <v>57.238779000000001</v>
      </c>
      <c r="G21" s="36">
        <v>22.1</v>
      </c>
      <c r="H21" s="36">
        <f t="shared" si="3"/>
        <v>14144</v>
      </c>
      <c r="I21" s="25">
        <v>70.13</v>
      </c>
      <c r="J21" s="25">
        <v>4.7300000000000004</v>
      </c>
      <c r="K21" s="25">
        <v>17.11</v>
      </c>
      <c r="L21" s="25">
        <v>7.84</v>
      </c>
      <c r="M21" s="25">
        <v>0.19</v>
      </c>
      <c r="N21" s="37">
        <v>2015</v>
      </c>
      <c r="O21" s="37" t="s">
        <v>67</v>
      </c>
      <c r="P21" s="53">
        <f>41+(20/60)+(54/3600)</f>
        <v>41.348333333333336</v>
      </c>
      <c r="Q21" s="53">
        <f>-(82+(30/60)+(50/3600))</f>
        <v>-82.513888888888886</v>
      </c>
      <c r="R21" s="30" t="s">
        <v>74</v>
      </c>
      <c r="S21" s="53"/>
      <c r="T21" s="53"/>
      <c r="V21" s="57" t="s">
        <v>87</v>
      </c>
    </row>
    <row r="22" spans="1:25">
      <c r="A22" s="15"/>
      <c r="B22" s="10" t="s">
        <v>29</v>
      </c>
      <c r="C22" s="9" t="s">
        <v>17</v>
      </c>
      <c r="D22" s="10" t="s">
        <v>30</v>
      </c>
      <c r="E22" s="15">
        <v>3150000</v>
      </c>
      <c r="F22" s="36">
        <v>19215</v>
      </c>
      <c r="G22" s="36">
        <f t="shared" si="1"/>
        <v>7418.9499299999998</v>
      </c>
      <c r="H22" s="36">
        <f t="shared" si="3"/>
        <v>4748127.9551999997</v>
      </c>
      <c r="I22" s="25">
        <v>23.604200361403432</v>
      </c>
      <c r="J22" s="25">
        <v>18.775360955965777</v>
      </c>
      <c r="K22" s="25">
        <v>43.001910660839002</v>
      </c>
      <c r="L22" s="25">
        <v>12.402413529454154</v>
      </c>
      <c r="M22" s="25">
        <v>2.2161144923376304</v>
      </c>
      <c r="N22" s="37">
        <v>1994</v>
      </c>
      <c r="O22" s="37" t="s">
        <v>66</v>
      </c>
      <c r="P22" s="53">
        <v>39.645000000000003</v>
      </c>
      <c r="Q22" s="53">
        <v>-81.849999999999994</v>
      </c>
      <c r="R22" s="15"/>
      <c r="S22" s="53"/>
      <c r="T22" s="53"/>
      <c r="V22" s="57" t="s">
        <v>83</v>
      </c>
      <c r="X22">
        <v>8044</v>
      </c>
      <c r="Y22" s="86">
        <f t="shared" ref="Y22:Y24" si="4">G22/X22</f>
        <v>0.92229611263053202</v>
      </c>
    </row>
    <row r="23" spans="1:25" ht="17.25">
      <c r="A23" s="15"/>
      <c r="B23" s="10" t="s">
        <v>31</v>
      </c>
      <c r="C23" s="9" t="s">
        <v>17</v>
      </c>
      <c r="D23" s="10" t="s">
        <v>30</v>
      </c>
      <c r="E23" s="15">
        <v>3231500</v>
      </c>
      <c r="F23" s="36">
        <v>9965</v>
      </c>
      <c r="G23" s="36">
        <f t="shared" si="1"/>
        <v>3847.5064299999999</v>
      </c>
      <c r="H23" s="36">
        <f t="shared" si="3"/>
        <v>2462404.1151999999</v>
      </c>
      <c r="I23" s="25">
        <v>61.740894962362816</v>
      </c>
      <c r="J23" s="25">
        <v>8.6180785544548186</v>
      </c>
      <c r="K23" s="25">
        <v>10.896016261805833</v>
      </c>
      <c r="L23" s="25">
        <v>17.268757597456784</v>
      </c>
      <c r="M23" s="25">
        <v>1.4762526239197535</v>
      </c>
      <c r="N23" s="25" t="s">
        <v>63</v>
      </c>
      <c r="O23" s="25" t="s">
        <v>66</v>
      </c>
      <c r="P23" s="53">
        <v>39.341388889000001</v>
      </c>
      <c r="Q23" s="53">
        <v>-82.971111110999999</v>
      </c>
      <c r="R23" s="15"/>
      <c r="S23" s="53"/>
      <c r="T23" s="53"/>
      <c r="V23" s="57" t="s">
        <v>88</v>
      </c>
      <c r="X23">
        <v>6509</v>
      </c>
      <c r="Y23" s="86">
        <f t="shared" si="4"/>
        <v>0.59110561222922109</v>
      </c>
    </row>
    <row r="24" spans="1:25">
      <c r="A24" s="15"/>
      <c r="B24" s="10" t="s">
        <v>32</v>
      </c>
      <c r="C24" s="9" t="s">
        <v>17</v>
      </c>
      <c r="D24" s="10" t="s">
        <v>30</v>
      </c>
      <c r="E24" s="15">
        <v>3271500</v>
      </c>
      <c r="F24" s="36">
        <v>7019</v>
      </c>
      <c r="G24" s="36">
        <f t="shared" si="1"/>
        <v>2710.0499380000001</v>
      </c>
      <c r="H24" s="36">
        <f t="shared" si="3"/>
        <v>1734431.9603200001</v>
      </c>
      <c r="I24" s="25">
        <v>64.545446865008216</v>
      </c>
      <c r="J24" s="25">
        <v>8.5202519288800911</v>
      </c>
      <c r="K24" s="25">
        <v>8.5862013613335098</v>
      </c>
      <c r="L24" s="25">
        <v>16.995867663861684</v>
      </c>
      <c r="M24" s="25">
        <v>1.3522321809164972</v>
      </c>
      <c r="N24" s="37">
        <v>1996</v>
      </c>
      <c r="O24" s="37" t="s">
        <v>66</v>
      </c>
      <c r="P24" s="53">
        <v>39.644444444000001</v>
      </c>
      <c r="Q24" s="53">
        <v>-84.289722221999995</v>
      </c>
      <c r="R24" s="15"/>
      <c r="S24" s="53">
        <v>39.606667000000002</v>
      </c>
      <c r="T24" s="53">
        <v>-84.286944000000005</v>
      </c>
      <c r="V24" s="57" t="s">
        <v>83</v>
      </c>
      <c r="X24">
        <v>3889</v>
      </c>
      <c r="Y24" s="86">
        <f t="shared" si="4"/>
        <v>0.69685007405502708</v>
      </c>
    </row>
    <row r="25" spans="1:25">
      <c r="A25" s="15"/>
      <c r="B25" s="10" t="s">
        <v>33</v>
      </c>
      <c r="C25" s="9" t="s">
        <v>17</v>
      </c>
      <c r="D25" s="10" t="s">
        <v>34</v>
      </c>
      <c r="E25" s="42" t="s">
        <v>35</v>
      </c>
      <c r="F25" s="43">
        <v>42.5</v>
      </c>
      <c r="G25" s="36">
        <f t="shared" si="1"/>
        <v>16.409334999999999</v>
      </c>
      <c r="H25" s="36">
        <f t="shared" si="3"/>
        <v>10501.974399999999</v>
      </c>
      <c r="I25" s="25">
        <v>79.046935371492509</v>
      </c>
      <c r="J25" s="25">
        <v>8.9289107531195242</v>
      </c>
      <c r="K25" s="25">
        <v>2.7574266832759746</v>
      </c>
      <c r="L25" s="25">
        <v>9.140046027489813</v>
      </c>
      <c r="M25" s="25">
        <v>0.12668116462217341</v>
      </c>
      <c r="N25" s="44">
        <v>2009</v>
      </c>
      <c r="O25" s="44" t="s">
        <v>66</v>
      </c>
      <c r="P25" s="54">
        <v>40.486888888888892</v>
      </c>
      <c r="Q25" s="54">
        <v>-84.481722222222217</v>
      </c>
      <c r="R25" s="15"/>
      <c r="S25" s="54"/>
      <c r="T25" s="54"/>
      <c r="V25" s="57" t="s">
        <v>89</v>
      </c>
    </row>
    <row r="26" spans="1:25">
      <c r="A26" s="15"/>
      <c r="B26" s="10" t="s">
        <v>36</v>
      </c>
      <c r="C26" s="9" t="s">
        <v>17</v>
      </c>
      <c r="D26" s="10" t="s">
        <v>34</v>
      </c>
      <c r="E26" s="45" t="s">
        <v>37</v>
      </c>
      <c r="F26" s="35">
        <v>29.5</v>
      </c>
      <c r="G26" s="36">
        <f t="shared" si="1"/>
        <v>11.390008999999999</v>
      </c>
      <c r="H26" s="36">
        <f t="shared" si="3"/>
        <v>7289.6057599999995</v>
      </c>
      <c r="I26" s="25">
        <v>68.83</v>
      </c>
      <c r="J26" s="25">
        <v>13.98</v>
      </c>
      <c r="K26" s="25">
        <v>2.59</v>
      </c>
      <c r="L26" s="25">
        <v>12.16</v>
      </c>
      <c r="M26" s="25">
        <v>2.4500000000000002</v>
      </c>
      <c r="N26" s="10">
        <v>2013</v>
      </c>
      <c r="O26" s="10" t="s">
        <v>66</v>
      </c>
      <c r="P26" s="54">
        <v>40.499444444444443</v>
      </c>
      <c r="Q26" s="54">
        <v>-84.609166666666667</v>
      </c>
      <c r="R26" s="15"/>
      <c r="S26" s="54"/>
      <c r="T26" s="54"/>
      <c r="V26" s="57" t="s">
        <v>89</v>
      </c>
    </row>
    <row r="27" spans="1:25" ht="30" customHeight="1">
      <c r="A27" s="15"/>
      <c r="B27" s="27" t="s">
        <v>44</v>
      </c>
      <c r="C27" s="28" t="s">
        <v>45</v>
      </c>
      <c r="D27" s="27" t="s">
        <v>30</v>
      </c>
      <c r="E27" s="46">
        <v>3322485</v>
      </c>
      <c r="F27" s="47" t="s">
        <v>64</v>
      </c>
      <c r="G27" s="48">
        <f>0.386102*294</f>
        <v>113.513988</v>
      </c>
      <c r="H27" s="48">
        <f t="shared" si="3"/>
        <v>72648.952319999997</v>
      </c>
      <c r="I27" s="29">
        <v>69.099999999999994</v>
      </c>
      <c r="J27" s="29">
        <v>7.3</v>
      </c>
      <c r="K27" s="29">
        <v>2.4</v>
      </c>
      <c r="L27" s="29">
        <v>1.6</v>
      </c>
      <c r="M27" s="29">
        <v>18.7</v>
      </c>
      <c r="N27" s="27">
        <v>2014</v>
      </c>
      <c r="O27" s="27" t="s">
        <v>66</v>
      </c>
      <c r="P27" s="55">
        <v>40.534722222222221</v>
      </c>
      <c r="Q27" s="55">
        <v>-84.576388888888886</v>
      </c>
      <c r="R27" s="15"/>
      <c r="S27" s="55"/>
      <c r="T27" s="55"/>
      <c r="V27" s="57" t="s">
        <v>89</v>
      </c>
    </row>
    <row r="28" spans="1:25">
      <c r="A28" s="18"/>
      <c r="B28" s="14" t="s">
        <v>38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6"/>
      <c r="O28" s="6"/>
      <c r="P28" s="14"/>
      <c r="Q28" s="14"/>
      <c r="R28" s="15"/>
    </row>
    <row r="29" spans="1:25" ht="17.25">
      <c r="A29" s="15"/>
      <c r="B29" s="19" t="s">
        <v>39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0"/>
      <c r="O29" s="10"/>
      <c r="P29" s="15"/>
      <c r="Q29" s="15"/>
      <c r="R29" s="16"/>
    </row>
    <row r="30" spans="1:25" ht="17.25">
      <c r="A30" s="15"/>
      <c r="B30" s="19" t="s">
        <v>40</v>
      </c>
      <c r="C30" s="15"/>
      <c r="D30" s="15"/>
      <c r="E30" s="15"/>
      <c r="F30" s="15"/>
      <c r="G30" s="34"/>
      <c r="H30" s="34"/>
      <c r="I30" s="34"/>
      <c r="J30" s="15"/>
      <c r="K30" s="15"/>
      <c r="L30" s="15"/>
      <c r="M30" s="15"/>
      <c r="N30" s="10"/>
      <c r="O30" s="10"/>
      <c r="P30" s="15"/>
      <c r="Q30" s="15"/>
      <c r="R30" s="16"/>
    </row>
    <row r="31" spans="1:25" ht="17.25">
      <c r="A31" s="15"/>
      <c r="B31" s="19" t="s">
        <v>41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0"/>
      <c r="O31" s="10"/>
      <c r="P31" s="15"/>
      <c r="Q31" s="15"/>
      <c r="R31" s="16"/>
    </row>
    <row r="32" spans="1:25" ht="17.25">
      <c r="A32" s="15"/>
      <c r="B32" s="19" t="s">
        <v>42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0"/>
      <c r="O32" s="10"/>
      <c r="P32" s="15"/>
      <c r="Q32" s="15"/>
      <c r="R32" s="16"/>
    </row>
    <row r="33" spans="1:22" ht="17.25">
      <c r="A33" s="15"/>
      <c r="B33" s="19" t="s">
        <v>43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6"/>
      <c r="S33" s="58"/>
    </row>
    <row r="34" spans="1:22" ht="17.25">
      <c r="A34" s="15"/>
      <c r="B34" s="19" t="s">
        <v>46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58"/>
    </row>
    <row r="35" spans="1:22" ht="17.25">
      <c r="A35" s="15"/>
      <c r="B35" s="15" t="s">
        <v>54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6"/>
      <c r="S35" s="58"/>
    </row>
    <row r="36" spans="1:22" ht="17.25">
      <c r="A36" s="15"/>
      <c r="B36" s="15" t="s">
        <v>68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"/>
    </row>
    <row r="37" spans="1:2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22" ht="20.25">
      <c r="A38" s="1"/>
      <c r="B38" s="50" t="s">
        <v>72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2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22" ht="15" customHeight="1">
      <c r="A40" s="17"/>
      <c r="B40" s="17"/>
      <c r="C40" s="17"/>
      <c r="D40" s="17"/>
      <c r="E40" s="17"/>
      <c r="F40" s="94" t="s">
        <v>0</v>
      </c>
      <c r="G40" s="94" t="s">
        <v>0</v>
      </c>
      <c r="H40" s="94" t="s">
        <v>0</v>
      </c>
      <c r="I40" s="96" t="s">
        <v>1</v>
      </c>
      <c r="J40" s="97"/>
      <c r="K40" s="97"/>
      <c r="L40" s="97"/>
      <c r="M40" s="98"/>
      <c r="N40" s="91" t="s">
        <v>2</v>
      </c>
      <c r="O40" s="91" t="s">
        <v>65</v>
      </c>
      <c r="P40" s="17"/>
      <c r="Q40" s="17"/>
      <c r="R40" s="17"/>
    </row>
    <row r="41" spans="1:22">
      <c r="A41" s="15"/>
      <c r="B41" s="15"/>
      <c r="C41" s="15"/>
      <c r="D41" s="15"/>
      <c r="E41" s="15"/>
      <c r="F41" s="95"/>
      <c r="G41" s="95"/>
      <c r="H41" s="95"/>
      <c r="I41" s="21" t="s">
        <v>3</v>
      </c>
      <c r="J41" s="21" t="s">
        <v>4</v>
      </c>
      <c r="K41" s="21" t="s">
        <v>5</v>
      </c>
      <c r="L41" s="21" t="s">
        <v>6</v>
      </c>
      <c r="M41" s="21" t="s">
        <v>7</v>
      </c>
      <c r="N41" s="92"/>
      <c r="O41" s="92"/>
      <c r="P41" s="15"/>
      <c r="Q41" s="15"/>
      <c r="R41" s="15"/>
    </row>
    <row r="42" spans="1:22" ht="17.25">
      <c r="A42" s="15"/>
      <c r="B42" s="3" t="s">
        <v>8</v>
      </c>
      <c r="C42" s="3" t="s">
        <v>9</v>
      </c>
      <c r="D42" s="3" t="s">
        <v>10</v>
      </c>
      <c r="E42" s="4" t="s">
        <v>11</v>
      </c>
      <c r="F42" s="22" t="s">
        <v>12</v>
      </c>
      <c r="G42" s="22" t="s">
        <v>51</v>
      </c>
      <c r="H42" s="22" t="s">
        <v>56</v>
      </c>
      <c r="I42" s="23" t="s">
        <v>13</v>
      </c>
      <c r="J42" s="23" t="s">
        <v>13</v>
      </c>
      <c r="K42" s="23" t="s">
        <v>13</v>
      </c>
      <c r="L42" s="23" t="s">
        <v>13</v>
      </c>
      <c r="M42" s="23" t="s">
        <v>13</v>
      </c>
      <c r="N42" s="93"/>
      <c r="O42" s="93"/>
      <c r="P42" s="4" t="s">
        <v>14</v>
      </c>
      <c r="Q42" s="4" t="s">
        <v>15</v>
      </c>
      <c r="R42" s="15"/>
    </row>
    <row r="44" spans="1:22">
      <c r="A44" s="15"/>
      <c r="B44" s="10" t="s">
        <v>69</v>
      </c>
      <c r="C44" s="10" t="s">
        <v>17</v>
      </c>
      <c r="D44" s="10" t="s">
        <v>18</v>
      </c>
      <c r="E44" s="15">
        <v>4199500</v>
      </c>
      <c r="F44" s="36">
        <v>678.58</v>
      </c>
      <c r="G44" s="36">
        <f t="shared" ref="G44:G45" si="5">0.386102*F44</f>
        <v>262.00109516000003</v>
      </c>
      <c r="H44" s="36">
        <f t="shared" ref="H44:H46" si="6">G44*640</f>
        <v>167680.70090240001</v>
      </c>
      <c r="I44" s="25">
        <v>72.8</v>
      </c>
      <c r="J44" s="49" t="s">
        <v>71</v>
      </c>
      <c r="K44" s="25">
        <v>25.4</v>
      </c>
      <c r="L44" s="25">
        <v>1</v>
      </c>
      <c r="M44" s="25">
        <v>0.84</v>
      </c>
      <c r="N44" s="37">
        <v>2000</v>
      </c>
      <c r="O44" s="37">
        <v>2008</v>
      </c>
      <c r="P44" s="38">
        <v>41.38194</v>
      </c>
      <c r="Q44" s="38">
        <v>-82.316569999999999</v>
      </c>
      <c r="R44" s="15"/>
    </row>
    <row r="45" spans="1:22">
      <c r="A45" s="15"/>
      <c r="B45" s="10" t="s">
        <v>70</v>
      </c>
      <c r="C45" s="10" t="s">
        <v>17</v>
      </c>
      <c r="D45" s="10" t="s">
        <v>18</v>
      </c>
      <c r="E45" s="15">
        <v>4212100</v>
      </c>
      <c r="F45" s="36">
        <v>1774.15</v>
      </c>
      <c r="G45" s="36">
        <f t="shared" si="5"/>
        <v>685.00286330000006</v>
      </c>
      <c r="H45" s="36">
        <f t="shared" si="6"/>
        <v>438401.83251200005</v>
      </c>
      <c r="I45" s="25">
        <v>40</v>
      </c>
      <c r="J45" s="49" t="s">
        <v>71</v>
      </c>
      <c r="K45" s="25">
        <v>50.1</v>
      </c>
      <c r="L45" s="25">
        <v>0.9</v>
      </c>
      <c r="M45" s="25">
        <v>13.1</v>
      </c>
      <c r="N45" s="37">
        <v>1988</v>
      </c>
      <c r="O45" s="37">
        <v>2006</v>
      </c>
      <c r="P45" s="38">
        <f>41+(43/60)+(8/3600)</f>
        <v>41.718888888888891</v>
      </c>
      <c r="Q45" s="38">
        <f>-(81+(13/60)+(41/3600))</f>
        <v>-81.228055555555557</v>
      </c>
      <c r="R45" s="15"/>
    </row>
    <row r="46" spans="1:22">
      <c r="B46" s="10" t="s">
        <v>73</v>
      </c>
      <c r="C46" s="9" t="s">
        <v>17</v>
      </c>
      <c r="D46" s="10" t="s">
        <v>30</v>
      </c>
      <c r="E46" s="15">
        <v>3237020</v>
      </c>
      <c r="F46" s="36">
        <f>G46*2.58999</f>
        <v>15115.181639999999</v>
      </c>
      <c r="G46" s="36">
        <v>5836</v>
      </c>
      <c r="H46" s="36">
        <f t="shared" si="6"/>
        <v>3735040</v>
      </c>
      <c r="I46" s="25"/>
      <c r="J46" s="25"/>
      <c r="K46" s="25"/>
      <c r="L46" s="25"/>
      <c r="M46" s="25"/>
      <c r="N46" s="37">
        <v>2017</v>
      </c>
      <c r="O46" s="37">
        <v>2018</v>
      </c>
      <c r="P46" s="38">
        <f>39+(4/60)+(12/3600)</f>
        <v>39.07</v>
      </c>
      <c r="Q46" s="38">
        <f>-(83+(1/60)+(11/3600))</f>
        <v>-83.019722222222228</v>
      </c>
      <c r="R46" s="30" t="s">
        <v>74</v>
      </c>
    </row>
    <row r="47" spans="1:22" ht="17.25">
      <c r="A47" s="15"/>
      <c r="B47" s="10" t="s">
        <v>75</v>
      </c>
      <c r="C47" s="9" t="s">
        <v>17</v>
      </c>
      <c r="D47" s="10" t="s">
        <v>18</v>
      </c>
      <c r="E47" s="15" t="s">
        <v>77</v>
      </c>
      <c r="F47" s="35"/>
      <c r="G47" s="36"/>
      <c r="H47" s="36"/>
      <c r="I47" s="25"/>
      <c r="J47" s="25"/>
      <c r="K47" s="25"/>
      <c r="L47" s="25"/>
      <c r="M47" s="25"/>
      <c r="N47" s="37">
        <v>2015</v>
      </c>
      <c r="O47" s="37" t="s">
        <v>67</v>
      </c>
      <c r="P47" s="38">
        <v>41.382471000000002</v>
      </c>
      <c r="Q47" s="38">
        <v>-82.514718000000002</v>
      </c>
      <c r="R47" s="30" t="s">
        <v>76</v>
      </c>
    </row>
    <row r="48" spans="1:22" ht="17.25">
      <c r="A48" s="15"/>
      <c r="B48" s="10" t="s">
        <v>53</v>
      </c>
      <c r="C48" s="10" t="s">
        <v>27</v>
      </c>
      <c r="D48" s="10" t="s">
        <v>18</v>
      </c>
      <c r="E48" s="15">
        <v>4197152</v>
      </c>
      <c r="F48" s="35">
        <f>G48*2.58999</f>
        <v>39.367847999999995</v>
      </c>
      <c r="G48" s="36">
        <v>15.2</v>
      </c>
      <c r="H48" s="36">
        <f>G48*640</f>
        <v>9728</v>
      </c>
      <c r="I48" s="25"/>
      <c r="J48" s="25"/>
      <c r="K48" s="25"/>
      <c r="L48" s="25"/>
      <c r="M48" s="25"/>
      <c r="N48" s="37">
        <v>2018</v>
      </c>
      <c r="O48" s="37">
        <v>2020</v>
      </c>
      <c r="P48" s="53">
        <f>41+(6/60)+(6/3600)</f>
        <v>41.101666666666667</v>
      </c>
      <c r="Q48" s="53">
        <f>-(83+(3/60)+(14/3600))</f>
        <v>-83.053888888888892</v>
      </c>
      <c r="R48" s="30" t="s">
        <v>74</v>
      </c>
      <c r="S48" s="53"/>
      <c r="T48" s="53"/>
      <c r="V48" s="57" t="s">
        <v>84</v>
      </c>
    </row>
  </sheetData>
  <mergeCells count="14">
    <mergeCell ref="P3:Q3"/>
    <mergeCell ref="S3:T3"/>
    <mergeCell ref="O2:O4"/>
    <mergeCell ref="F40:F41"/>
    <mergeCell ref="G40:G41"/>
    <mergeCell ref="H40:H41"/>
    <mergeCell ref="I40:M40"/>
    <mergeCell ref="N40:N42"/>
    <mergeCell ref="O40:O42"/>
    <mergeCell ref="F2:F3"/>
    <mergeCell ref="N2:N4"/>
    <mergeCell ref="I2:M2"/>
    <mergeCell ref="G2:G3"/>
    <mergeCell ref="H2:H3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6DAFA-5C74-4131-97C3-53AEF695AB74}">
  <dimension ref="A2:AW24"/>
  <sheetViews>
    <sheetView tabSelected="1" workbookViewId="0">
      <selection activeCell="D6" sqref="D6"/>
    </sheetView>
  </sheetViews>
  <sheetFormatPr defaultRowHeight="15"/>
  <cols>
    <col min="1" max="1" width="19" customWidth="1"/>
    <col min="2" max="2" width="25.5703125" customWidth="1"/>
    <col min="4" max="4" width="22.140625" bestFit="1" customWidth="1"/>
    <col min="5" max="5" width="62.7109375" bestFit="1" customWidth="1"/>
    <col min="6" max="6" width="58.7109375" bestFit="1" customWidth="1"/>
    <col min="7" max="7" width="51" bestFit="1" customWidth="1"/>
  </cols>
  <sheetData>
    <row r="2" spans="1:49">
      <c r="A2" s="61" t="s">
        <v>8</v>
      </c>
      <c r="B2" s="62" t="s">
        <v>11</v>
      </c>
      <c r="C2" s="63" t="s">
        <v>98</v>
      </c>
      <c r="D2" s="64" t="s">
        <v>99</v>
      </c>
      <c r="E2" s="64" t="s">
        <v>100</v>
      </c>
      <c r="F2" s="64" t="s">
        <v>101</v>
      </c>
      <c r="G2" s="64" t="s">
        <v>102</v>
      </c>
    </row>
    <row r="3" spans="1:49" s="67" customFormat="1">
      <c r="A3" s="65" t="s">
        <v>16</v>
      </c>
      <c r="B3" s="66">
        <v>4208000</v>
      </c>
      <c r="C3" s="67" t="s">
        <v>103</v>
      </c>
      <c r="D3" s="68" t="s">
        <v>104</v>
      </c>
      <c r="E3" s="67" t="s">
        <v>105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</row>
    <row r="4" spans="1:49">
      <c r="A4" s="69" t="s">
        <v>19</v>
      </c>
      <c r="B4" s="70">
        <v>4176500</v>
      </c>
      <c r="C4" t="s">
        <v>103</v>
      </c>
      <c r="D4" s="71" t="s">
        <v>104</v>
      </c>
      <c r="E4" t="s">
        <v>106</v>
      </c>
    </row>
    <row r="5" spans="1:49" s="67" customFormat="1">
      <c r="A5" s="72" t="s">
        <v>20</v>
      </c>
      <c r="B5" s="73">
        <v>4195500</v>
      </c>
      <c r="C5" s="74" t="s">
        <v>107</v>
      </c>
      <c r="D5" s="68" t="s">
        <v>104</v>
      </c>
      <c r="E5" s="67" t="s">
        <v>108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</row>
    <row r="6" spans="1:49">
      <c r="A6" s="69" t="s">
        <v>47</v>
      </c>
      <c r="B6" s="75">
        <v>4193999</v>
      </c>
      <c r="C6" s="76" t="s">
        <v>107</v>
      </c>
      <c r="D6" t="s">
        <v>109</v>
      </c>
      <c r="E6" t="s">
        <v>110</v>
      </c>
      <c r="F6" t="s">
        <v>111</v>
      </c>
    </row>
    <row r="7" spans="1:49" s="67" customFormat="1">
      <c r="A7" s="72" t="s">
        <v>48</v>
      </c>
      <c r="B7" s="77">
        <v>4192599</v>
      </c>
      <c r="C7" s="74" t="s">
        <v>107</v>
      </c>
      <c r="D7" s="67" t="s">
        <v>109</v>
      </c>
      <c r="E7" s="67" t="s">
        <v>112</v>
      </c>
      <c r="F7" s="67" t="s">
        <v>113</v>
      </c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</row>
    <row r="8" spans="1:49">
      <c r="A8" s="69" t="s">
        <v>50</v>
      </c>
      <c r="B8" s="75">
        <v>4192574</v>
      </c>
      <c r="C8" s="76" t="s">
        <v>107</v>
      </c>
      <c r="D8" t="s">
        <v>109</v>
      </c>
      <c r="E8" t="s">
        <v>114</v>
      </c>
      <c r="F8" t="s">
        <v>115</v>
      </c>
    </row>
    <row r="9" spans="1:49" s="67" customFormat="1">
      <c r="A9" s="72" t="s">
        <v>22</v>
      </c>
      <c r="B9" s="77">
        <v>4185440</v>
      </c>
      <c r="C9" s="74" t="s">
        <v>107</v>
      </c>
      <c r="D9" s="68" t="s">
        <v>104</v>
      </c>
      <c r="E9" s="67" t="s">
        <v>116</v>
      </c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</row>
    <row r="10" spans="1:49">
      <c r="A10" s="69" t="s">
        <v>57</v>
      </c>
      <c r="B10" s="75">
        <v>4188252</v>
      </c>
      <c r="C10" s="76" t="s">
        <v>107</v>
      </c>
      <c r="D10" t="s">
        <v>109</v>
      </c>
      <c r="E10" s="88" t="s">
        <v>117</v>
      </c>
      <c r="F10" t="s">
        <v>118</v>
      </c>
    </row>
    <row r="11" spans="1:49" s="67" customFormat="1">
      <c r="A11" s="72" t="s">
        <v>58</v>
      </c>
      <c r="B11" s="77">
        <v>4188324</v>
      </c>
      <c r="C11" s="74" t="s">
        <v>107</v>
      </c>
      <c r="D11" s="67" t="s">
        <v>109</v>
      </c>
      <c r="E11" s="87" t="s">
        <v>119</v>
      </c>
      <c r="F11" s="67" t="s">
        <v>120</v>
      </c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</row>
    <row r="12" spans="1:49">
      <c r="A12" s="69" t="s">
        <v>24</v>
      </c>
      <c r="B12" s="75">
        <v>4189000</v>
      </c>
      <c r="C12" s="71" t="s">
        <v>104</v>
      </c>
      <c r="D12" t="s">
        <v>103</v>
      </c>
      <c r="E12" t="s">
        <v>121</v>
      </c>
      <c r="F12" t="s">
        <v>122</v>
      </c>
    </row>
    <row r="13" spans="1:49" s="67" customFormat="1">
      <c r="A13" s="72" t="s">
        <v>25</v>
      </c>
      <c r="B13" s="77">
        <v>4185000</v>
      </c>
      <c r="C13" s="74" t="s">
        <v>107</v>
      </c>
      <c r="D13" s="67" t="s">
        <v>109</v>
      </c>
      <c r="E13" s="67" t="s">
        <v>123</v>
      </c>
      <c r="F13" s="67" t="s">
        <v>124</v>
      </c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</row>
    <row r="14" spans="1:49">
      <c r="A14" s="69" t="s">
        <v>23</v>
      </c>
      <c r="B14" s="75">
        <v>4193500</v>
      </c>
      <c r="C14" t="s">
        <v>103</v>
      </c>
      <c r="D14" s="71" t="s">
        <v>104</v>
      </c>
      <c r="E14" t="s">
        <v>125</v>
      </c>
      <c r="G14" t="s">
        <v>126</v>
      </c>
    </row>
    <row r="15" spans="1:49" s="67" customFormat="1" ht="13.5" customHeight="1">
      <c r="A15" s="72" t="s">
        <v>26</v>
      </c>
      <c r="B15" s="77">
        <v>4197170</v>
      </c>
      <c r="C15" s="74" t="s">
        <v>107</v>
      </c>
      <c r="D15" s="67" t="s">
        <v>109</v>
      </c>
      <c r="E15" s="67" t="s">
        <v>127</v>
      </c>
      <c r="F15" s="67" t="s">
        <v>128</v>
      </c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</row>
    <row r="16" spans="1:49">
      <c r="A16" s="69" t="s">
        <v>28</v>
      </c>
      <c r="B16" s="75">
        <v>4197100</v>
      </c>
      <c r="D16" s="71" t="s">
        <v>104</v>
      </c>
      <c r="E16" t="s">
        <v>129</v>
      </c>
    </row>
    <row r="17" spans="1:49" s="67" customFormat="1">
      <c r="A17" s="72" t="s">
        <v>27</v>
      </c>
      <c r="B17" s="77">
        <v>4198000</v>
      </c>
      <c r="C17" s="74" t="s">
        <v>107</v>
      </c>
      <c r="D17" s="67" t="s">
        <v>109</v>
      </c>
      <c r="E17" s="67" t="s">
        <v>130</v>
      </c>
      <c r="F17" s="67" t="s">
        <v>131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</row>
    <row r="18" spans="1:49">
      <c r="A18" s="69" t="s">
        <v>49</v>
      </c>
      <c r="B18" s="75">
        <v>4199000</v>
      </c>
      <c r="C18" t="s">
        <v>103</v>
      </c>
      <c r="D18" t="s">
        <v>109</v>
      </c>
      <c r="E18" t="s">
        <v>132</v>
      </c>
      <c r="F18" t="s">
        <v>133</v>
      </c>
    </row>
    <row r="19" spans="1:49" s="67" customFormat="1">
      <c r="A19" s="72" t="s">
        <v>29</v>
      </c>
      <c r="B19" s="77">
        <v>3150000</v>
      </c>
      <c r="C19" s="68" t="s">
        <v>104</v>
      </c>
      <c r="D19" s="68" t="s">
        <v>104</v>
      </c>
      <c r="E19" s="67" t="s">
        <v>134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</row>
    <row r="20" spans="1:49">
      <c r="A20" s="69" t="s">
        <v>31</v>
      </c>
      <c r="B20" s="75">
        <v>3231500</v>
      </c>
      <c r="C20" s="71" t="s">
        <v>104</v>
      </c>
      <c r="D20" s="71" t="s">
        <v>104</v>
      </c>
      <c r="E20" t="s">
        <v>135</v>
      </c>
    </row>
    <row r="21" spans="1:49" s="67" customFormat="1">
      <c r="A21" s="72" t="s">
        <v>32</v>
      </c>
      <c r="B21" s="77">
        <v>3271500</v>
      </c>
      <c r="C21" s="67" t="s">
        <v>103</v>
      </c>
      <c r="D21" s="67" t="s">
        <v>103</v>
      </c>
      <c r="E21" s="67" t="s">
        <v>136</v>
      </c>
      <c r="F21" s="67" t="s">
        <v>137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</row>
    <row r="22" spans="1:49">
      <c r="A22" s="69" t="s">
        <v>33</v>
      </c>
      <c r="B22" s="78" t="s">
        <v>35</v>
      </c>
      <c r="C22" s="71" t="s">
        <v>104</v>
      </c>
      <c r="D22" s="71" t="s">
        <v>104</v>
      </c>
      <c r="E22" t="s">
        <v>138</v>
      </c>
    </row>
    <row r="23" spans="1:49" s="67" customFormat="1">
      <c r="A23" s="72" t="s">
        <v>36</v>
      </c>
      <c r="B23" s="79" t="s">
        <v>37</v>
      </c>
      <c r="C23" s="68" t="s">
        <v>104</v>
      </c>
      <c r="D23" s="68" t="s">
        <v>104</v>
      </c>
      <c r="E23" s="67" t="s">
        <v>139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</row>
    <row r="24" spans="1:49">
      <c r="A24" s="80" t="s">
        <v>44</v>
      </c>
      <c r="B24" s="81">
        <v>3322485</v>
      </c>
      <c r="C24" s="82" t="s">
        <v>104</v>
      </c>
      <c r="D24" s="83" t="s">
        <v>104</v>
      </c>
      <c r="E24" s="84" t="s">
        <v>140</v>
      </c>
      <c r="F24" s="84"/>
      <c r="G24" s="84"/>
    </row>
  </sheetData>
  <hyperlinks>
    <hyperlink ref="E11" r:id="rId1" xr:uid="{BDEED5D6-0BE4-4976-802B-AB35675D5EA1}"/>
    <hyperlink ref="E10" r:id="rId2" xr:uid="{258AB222-030A-496F-B077-11837475F59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F9BE5-2877-485C-810C-EC04287B6332}">
  <dimension ref="A4:F28"/>
  <sheetViews>
    <sheetView workbookViewId="0">
      <selection activeCell="V31" sqref="V31"/>
    </sheetView>
  </sheetViews>
  <sheetFormatPr defaultColWidth="8.85546875" defaultRowHeight="15"/>
  <cols>
    <col min="1" max="1" width="15.5703125" bestFit="1" customWidth="1"/>
    <col min="2" max="2" width="8.7109375" bestFit="1" customWidth="1"/>
    <col min="3" max="3" width="8.85546875" bestFit="1" customWidth="1"/>
    <col min="4" max="4" width="7.5703125" bestFit="1" customWidth="1"/>
    <col min="5" max="5" width="7.140625" bestFit="1" customWidth="1"/>
    <col min="6" max="6" width="6.85546875" bestFit="1" customWidth="1"/>
    <col min="7" max="7" width="9" customWidth="1"/>
  </cols>
  <sheetData>
    <row r="4" spans="1:6" ht="30">
      <c r="A4" s="3" t="s">
        <v>8</v>
      </c>
      <c r="B4" s="21" t="s">
        <v>3</v>
      </c>
      <c r="C4" s="21" t="s">
        <v>4</v>
      </c>
      <c r="D4" s="21" t="s">
        <v>5</v>
      </c>
      <c r="E4" s="21" t="s">
        <v>6</v>
      </c>
      <c r="F4" s="21" t="s">
        <v>91</v>
      </c>
    </row>
    <row r="5" spans="1:6">
      <c r="A5" s="59" t="s">
        <v>19</v>
      </c>
      <c r="B5" s="25">
        <v>49.564225060508562</v>
      </c>
      <c r="C5" s="25">
        <v>18.686529338401989</v>
      </c>
      <c r="D5" s="25">
        <v>11.00609185035872</v>
      </c>
      <c r="E5" s="25">
        <v>10.750492767302514</v>
      </c>
      <c r="F5" s="25">
        <v>9.9926609834282214</v>
      </c>
    </row>
    <row r="6" spans="1:6">
      <c r="A6" s="59" t="s">
        <v>23</v>
      </c>
      <c r="B6" s="25">
        <v>73.333818823538621</v>
      </c>
      <c r="C6" s="25">
        <v>6.3430947896306131</v>
      </c>
      <c r="D6" s="25">
        <v>6.4692965362605825</v>
      </c>
      <c r="E6" s="25">
        <v>10.61025623030921</v>
      </c>
      <c r="F6" s="25">
        <v>3.2435336202609828</v>
      </c>
    </row>
    <row r="7" spans="1:6">
      <c r="A7" s="59" t="s">
        <v>92</v>
      </c>
      <c r="B7" s="25">
        <v>15.595910714486628</v>
      </c>
      <c r="C7" s="25">
        <v>10.563590481100592</v>
      </c>
      <c r="D7" s="25">
        <v>28.306925405020472</v>
      </c>
      <c r="E7" s="25">
        <v>43.870340502444449</v>
      </c>
      <c r="F7" s="25">
        <v>1.6632328969478611</v>
      </c>
    </row>
    <row r="8" spans="1:6">
      <c r="A8" s="59" t="s">
        <v>25</v>
      </c>
      <c r="B8" s="25">
        <v>60.537973269152758</v>
      </c>
      <c r="C8" s="25">
        <v>14.793632428503123</v>
      </c>
      <c r="D8" s="25">
        <v>8.8577449716272536</v>
      </c>
      <c r="E8" s="25">
        <v>7.4878080249885945</v>
      </c>
      <c r="F8" s="25">
        <v>8.322841305728268</v>
      </c>
    </row>
    <row r="9" spans="1:6">
      <c r="A9" s="59" t="s">
        <v>22</v>
      </c>
      <c r="B9" s="25">
        <v>77.455357142857139</v>
      </c>
      <c r="C9" s="25">
        <v>8.6360837438423648</v>
      </c>
      <c r="D9" s="25">
        <v>7.8663793103448274</v>
      </c>
      <c r="E9" s="25">
        <v>4.2718596059113292</v>
      </c>
      <c r="F9" s="25">
        <v>1.7703201970443347</v>
      </c>
    </row>
    <row r="10" spans="1:6">
      <c r="A10" s="59" t="s">
        <v>93</v>
      </c>
      <c r="B10" s="25">
        <v>90.258981676650251</v>
      </c>
      <c r="C10" s="25">
        <v>0.49017498912200441</v>
      </c>
      <c r="D10" s="25">
        <v>2.4867753093924327</v>
      </c>
      <c r="E10" s="25">
        <v>6.547103805663598</v>
      </c>
      <c r="F10" s="25">
        <v>0.21696421917172087</v>
      </c>
    </row>
    <row r="11" spans="1:6">
      <c r="A11" s="59" t="s">
        <v>50</v>
      </c>
      <c r="B11" s="25">
        <v>92.047298497739689</v>
      </c>
      <c r="C11" s="25">
        <v>0.80551552598851073</v>
      </c>
      <c r="D11" s="25">
        <v>1.8131748820498643</v>
      </c>
      <c r="E11" s="25">
        <v>5.1738160570108773</v>
      </c>
      <c r="F11" s="25">
        <v>0.16019503721104683</v>
      </c>
    </row>
    <row r="12" spans="1:6">
      <c r="A12" s="59" t="s">
        <v>24</v>
      </c>
      <c r="B12" s="25">
        <v>78.75375026464863</v>
      </c>
      <c r="C12" s="25">
        <v>3.4904700675951319</v>
      </c>
      <c r="D12" s="25">
        <v>6.2742121216815647</v>
      </c>
      <c r="E12" s="25">
        <v>10.499811518540897</v>
      </c>
      <c r="F12" s="25">
        <v>0.98175602753378477</v>
      </c>
    </row>
    <row r="13" spans="1:6">
      <c r="A13" s="59" t="s">
        <v>20</v>
      </c>
      <c r="B13" s="25">
        <v>84.417345962179468</v>
      </c>
      <c r="C13" s="25">
        <v>1.3116728820830996</v>
      </c>
      <c r="D13" s="25">
        <v>4.4862380779512234</v>
      </c>
      <c r="E13" s="25">
        <v>8.9816342694960571</v>
      </c>
      <c r="F13" s="25">
        <v>0.80310880829015541</v>
      </c>
    </row>
    <row r="14" spans="1:6">
      <c r="A14" s="59" t="s">
        <v>27</v>
      </c>
      <c r="B14" s="25">
        <v>77.591756850423437</v>
      </c>
      <c r="C14" s="25">
        <v>4.3158466438585457</v>
      </c>
      <c r="D14" s="25">
        <v>8.8200200300311558</v>
      </c>
      <c r="E14" s="25">
        <v>8.095438514610672</v>
      </c>
      <c r="F14" s="25">
        <v>1.1769379610761765</v>
      </c>
    </row>
    <row r="15" spans="1:6">
      <c r="A15" s="59" t="s">
        <v>26</v>
      </c>
      <c r="B15" s="25">
        <v>71.853837471783294</v>
      </c>
      <c r="C15" s="25">
        <v>7.7646323766526928</v>
      </c>
      <c r="D15" s="25">
        <v>11.410633666559175</v>
      </c>
      <c r="E15" s="25">
        <v>8.7502015478877784</v>
      </c>
      <c r="F15" s="25">
        <v>0.22069493711705904</v>
      </c>
    </row>
    <row r="16" spans="1:6">
      <c r="A16" s="59" t="s">
        <v>94</v>
      </c>
      <c r="B16" s="25">
        <v>81.071205234224053</v>
      </c>
      <c r="C16" s="25">
        <v>1.992934544198766</v>
      </c>
      <c r="D16" s="25">
        <v>9.5453654530011836</v>
      </c>
      <c r="E16" s="25">
        <v>6.7345833994455901</v>
      </c>
      <c r="F16" s="25">
        <v>0.65591136913039816</v>
      </c>
    </row>
    <row r="17" spans="1:6">
      <c r="A17" t="s">
        <v>95</v>
      </c>
    </row>
    <row r="18" spans="1:6">
      <c r="A18" s="59" t="s">
        <v>49</v>
      </c>
      <c r="B18" s="25">
        <v>72.862474095518337</v>
      </c>
      <c r="C18" s="25">
        <v>2.1711942881834605</v>
      </c>
      <c r="D18" s="25">
        <v>14.650325337529427</v>
      </c>
      <c r="E18" s="25">
        <v>9.3344556620545109</v>
      </c>
      <c r="F18" s="25">
        <v>0.98155061671425536</v>
      </c>
    </row>
    <row r="19" spans="1:6">
      <c r="A19" s="59" t="s">
        <v>55</v>
      </c>
      <c r="B19" s="60">
        <v>70.13</v>
      </c>
      <c r="C19" s="60">
        <v>4.7300000000000004</v>
      </c>
      <c r="D19" s="60">
        <v>17.11</v>
      </c>
      <c r="E19" s="60">
        <v>7.84</v>
      </c>
      <c r="F19" s="60">
        <v>0.19</v>
      </c>
    </row>
    <row r="20" spans="1:6">
      <c r="A20" s="59" t="s">
        <v>16</v>
      </c>
      <c r="B20" s="24">
        <v>9.0083242583853771</v>
      </c>
      <c r="C20" s="24">
        <v>11.838917821716166</v>
      </c>
      <c r="D20" s="24">
        <v>33.554934919658933</v>
      </c>
      <c r="E20" s="24">
        <v>39.539017337472004</v>
      </c>
      <c r="F20" s="24">
        <v>6.0588056627675257</v>
      </c>
    </row>
    <row r="21" spans="1:6">
      <c r="A21" t="s">
        <v>96</v>
      </c>
    </row>
    <row r="22" spans="1:6">
      <c r="A22" s="59" t="s">
        <v>29</v>
      </c>
      <c r="B22" s="25">
        <v>23.604200361403432</v>
      </c>
      <c r="C22" s="25">
        <v>18.775360955965777</v>
      </c>
      <c r="D22" s="25">
        <v>43.001910660839002</v>
      </c>
      <c r="E22" s="25">
        <v>12.402413529454154</v>
      </c>
      <c r="F22" s="25">
        <v>2.2161144923376304</v>
      </c>
    </row>
    <row r="23" spans="1:6">
      <c r="A23" s="59" t="s">
        <v>31</v>
      </c>
      <c r="B23" s="25">
        <v>61.740894962362816</v>
      </c>
      <c r="C23" s="25">
        <v>8.6180785544548186</v>
      </c>
      <c r="D23" s="25">
        <v>10.896016261805833</v>
      </c>
      <c r="E23" s="25">
        <v>17.268757597456784</v>
      </c>
      <c r="F23" s="25">
        <v>1.4762526239197535</v>
      </c>
    </row>
    <row r="24" spans="1:6">
      <c r="A24" s="59" t="s">
        <v>32</v>
      </c>
      <c r="B24" s="25">
        <v>64.545446865008216</v>
      </c>
      <c r="C24" s="25">
        <v>8.5202519288800911</v>
      </c>
      <c r="D24" s="25">
        <v>8.5862013613335098</v>
      </c>
      <c r="E24" s="25">
        <v>16.995867663861684</v>
      </c>
      <c r="F24" s="25">
        <v>1.3522321809164972</v>
      </c>
    </row>
    <row r="25" spans="1:6">
      <c r="A25" t="s">
        <v>97</v>
      </c>
    </row>
    <row r="26" spans="1:6">
      <c r="A26" s="59" t="s">
        <v>33</v>
      </c>
      <c r="B26" s="25">
        <v>79.046935371492509</v>
      </c>
      <c r="C26" s="25">
        <v>8.9289107531195242</v>
      </c>
      <c r="D26" s="25">
        <v>2.7574266832759746</v>
      </c>
      <c r="E26" s="25">
        <v>9.140046027489813</v>
      </c>
      <c r="F26" s="25">
        <v>0.12668116462217341</v>
      </c>
    </row>
    <row r="27" spans="1:6">
      <c r="A27" s="59" t="s">
        <v>36</v>
      </c>
      <c r="B27" s="25">
        <v>68.83</v>
      </c>
      <c r="C27" s="25">
        <v>13.98</v>
      </c>
      <c r="D27" s="25">
        <v>2.59</v>
      </c>
      <c r="E27" s="25">
        <v>12.16</v>
      </c>
      <c r="F27" s="25">
        <v>2.4500000000000002</v>
      </c>
    </row>
    <row r="28" spans="1:6">
      <c r="A28" s="59" t="s">
        <v>44</v>
      </c>
      <c r="B28" s="29">
        <v>69.099999999999994</v>
      </c>
      <c r="C28" s="29">
        <v>7.3</v>
      </c>
      <c r="D28" s="29">
        <v>2.4</v>
      </c>
      <c r="E28" s="29">
        <v>1.6</v>
      </c>
      <c r="F28" s="29">
        <v>18.7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basic information</vt:lpstr>
      <vt:lpstr>Sonde Precip USGS links </vt:lpstr>
      <vt:lpstr>LU figure</vt:lpstr>
    </vt:vector>
  </TitlesOfParts>
  <Company>Heidelberg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T Johnson</dc:creator>
  <cp:lastModifiedBy>Laura T Johnson</cp:lastModifiedBy>
  <cp:lastPrinted>2015-01-20T17:00:48Z</cp:lastPrinted>
  <dcterms:created xsi:type="dcterms:W3CDTF">2014-08-13T20:51:11Z</dcterms:created>
  <dcterms:modified xsi:type="dcterms:W3CDTF">2021-04-23T21:26:35Z</dcterms:modified>
</cp:coreProperties>
</file>